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ounds" state="visible" r:id="rId5"/>
    <sheet sheetId="3" name="Cap table" state="visible" r:id="rId6"/>
    <sheet sheetId="4" name="ESOP grants" state="visible" r:id="rId7"/>
    <sheet sheetId="5" name="Dilution" state="visible" r:id="rId8"/>
  </sheets>
  <calcPr calcId="171027" fullCalcOnLoad="1"/>
</workbook>
</file>

<file path=xl/sharedStrings.xml><?xml version="1.0" encoding="utf-8"?>
<sst xmlns="http://schemas.openxmlformats.org/spreadsheetml/2006/main" count="133" uniqueCount="111">
  <si>
    <t>Cap table</t>
  </si>
  <si>
    <t>Free from Simplify, withsimplify.in/templates/cap-table</t>
  </si>
  <si>
    <t>WHAT IT DOES</t>
  </si>
  <si>
    <t>Builds a fully diluted cap table round by round, so ownership after each round is calculated from the terms rather than typed in and hoped for. It handles the ESOP pool the way term sheets actually write it, as a target percentage of the post-money, topped up before the new money goes in.</t>
  </si>
  <si>
    <t/>
  </si>
  <si>
    <t>HOW TO USE IT</t>
  </si>
  <si>
    <t>1. Rounds: one column per round. Enter pre-money valuation, new money and the ESOP pool target. Everything else is calculated: price per share, shares issued, pool top-up and the resulting ownership.</t>
  </si>
  <si>
    <t>2. Cap table: the fully diluted table as it stands after the last round, pulling shares from Rounds.</t>
  </si>
  <si>
    <t>3. ESOP grants: what has been granted out of the pool, with vesting calculated against today's date.</t>
  </si>
  <si>
    <t>4. Dilution: founder and investor ownership after each round, side by side, which is the story the cap table is actually telling.</t>
  </si>
  <si>
    <t>Shaded cells are yours. Everything else is a formula. The example is a founding, a seed and a Series A, all invented.</t>
  </si>
  <si>
    <t>THE ONE THING WORTH UNDERSTANDING</t>
  </si>
  <si>
    <t>A pool topped up before the money is paid for by the people already on the cap table, mostly the founders. A pool agreed after the money is shared with the incoming investor. Term sheets almost always say pre-money, and it is usually the most expensive line in the document after the valuation itself.</t>
  </si>
  <si>
    <t>This template follows the pre-money convention, because that is what you will be handed. Change the pool target to zero to see what the round would have cost without it.</t>
  </si>
  <si>
    <t>CHECK THE TIE ROW</t>
  </si>
  <si>
    <t>The Rounds sheet recalculates the pre-money valuation from the price per share and the share count, and compares it with what you entered. If that row does not say Ties, an input is wrong and nothing below it is reliable.</t>
  </si>
  <si>
    <t>WHAT IT IS NOT</t>
  </si>
  <si>
    <t>Not a legal document, and not a share register. Your statutory registers and filings are the record; this is a management view.</t>
  </si>
  <si>
    <t>Not a substitute for advice. Which instrument to use, how it is documented and what any of it means for tax are questions for a lawyer and your CA, and they are worth paying for once.</t>
  </si>
  <si>
    <t>It does not model liquidation preference, so it tells you who owns what and not who gets paid what at an exit. Those are different questions, and the liquidation waterfall calculator on the site covers the second.</t>
  </si>
  <si>
    <t>It assumes one class of investor per round and compulsory conversion to equity. Multiple tranches, several notes on different caps, or anti-dilution adjustments all need more than a spreadsheet column.</t>
  </si>
  <si>
    <t>Guide to using this template: withsimplify.in/templates/cap-table</t>
  </si>
  <si>
    <t>Round by round</t>
  </si>
  <si>
    <t>One column per round. Shaded cells are yours; the rest is calculated.</t>
  </si>
  <si>
    <t>Founding</t>
  </si>
  <si>
    <t>Seed</t>
  </si>
  <si>
    <t>Series A</t>
  </si>
  <si>
    <t>Next round</t>
  </si>
  <si>
    <t>Pre-money valuation (₹)</t>
  </si>
  <si>
    <t>New money raised (₹)</t>
  </si>
  <si>
    <t>Post-money valuation (₹)</t>
  </si>
  <si>
    <t>ESOP pool target, % of post-money</t>
  </si>
  <si>
    <t>Shares before, excluding the pool</t>
  </si>
  <si>
    <t>Investor's share of post-money</t>
  </si>
  <si>
    <t>Total shares after the round</t>
  </si>
  <si>
    <t>Shares issued to the investor</t>
  </si>
  <si>
    <t>ESOP pool after the round</t>
  </si>
  <si>
    <t>Pool topped up this round</t>
  </si>
  <si>
    <t>Price per share (₹)</t>
  </si>
  <si>
    <t>Pre-money recalculated from the price</t>
  </si>
  <si>
    <t>Does it tie?</t>
  </si>
  <si>
    <t>Existing holders' share after</t>
  </si>
  <si>
    <t>The engine is one line: total shares after a round equal the shares already there, excluding the pool, divided by whatever is left after the investor's percentage and the pool target.</t>
  </si>
  <si>
    <t>That is what makes the pool pre-money. The pool comes out of the share of the company left for the existing holders, not out of the investor's.</t>
  </si>
  <si>
    <t>Set a pool target of 0% to see what the same round would cost with no pool at all. The difference is what the pool line is worth.</t>
  </si>
  <si>
    <t>To add a round, copy the Series A column into the next one along and change the three shaded inputs.</t>
  </si>
  <si>
    <t>Fully diluted, after the last round</t>
  </si>
  <si>
    <t>Shares come from the Rounds sheet. Only the founder rows are yours.</t>
  </si>
  <si>
    <t>Holder</t>
  </si>
  <si>
    <t>Class</t>
  </si>
  <si>
    <t>Shares</t>
  </si>
  <si>
    <t>% fully diluted</t>
  </si>
  <si>
    <t>Invested (₹)</t>
  </si>
  <si>
    <t>Price paid (₹)</t>
  </si>
  <si>
    <t>Founder A</t>
  </si>
  <si>
    <t>Equity</t>
  </si>
  <si>
    <t>Founder B</t>
  </si>
  <si>
    <t>Seed investor</t>
  </si>
  <si>
    <t>CCPS Seed</t>
  </si>
  <si>
    <t>Series A investor</t>
  </si>
  <si>
    <t>CCPS Series A</t>
  </si>
  <si>
    <t>Next round investor</t>
  </si>
  <si>
    <t>CCPS</t>
  </si>
  <si>
    <t>ESOP pool, granted</t>
  </si>
  <si>
    <t>Options</t>
  </si>
  <si>
    <t>ESOP pool, unallocated</t>
  </si>
  <si>
    <t>Total, fully diluted</t>
  </si>
  <si>
    <t>CHECKS</t>
  </si>
  <si>
    <t>Founder shares match the founding round</t>
  </si>
  <si>
    <t>The two founder rows should add up to the shares issued at founding.</t>
  </si>
  <si>
    <t>Total matches the last round</t>
  </si>
  <si>
    <t>Within two shares, to allow for rounding.</t>
  </si>
  <si>
    <t>Percentages add to 100%</t>
  </si>
  <si>
    <t>Options granted are inside the pool</t>
  </si>
  <si>
    <t>What has been granted out of the pool</t>
  </si>
  <si>
    <t>Vesting is calculated against today's date, so it updates itself.</t>
  </si>
  <si>
    <t>Pool, from the last round</t>
  </si>
  <si>
    <t>Granted so far</t>
  </si>
  <si>
    <t>Still unallocated</t>
  </si>
  <si>
    <t>Vested so far</t>
  </si>
  <si>
    <t>Role</t>
  </si>
  <si>
    <t>Grant date</t>
  </si>
  <si>
    <t>Options granted</t>
  </si>
  <si>
    <t>Vest months</t>
  </si>
  <si>
    <t>Cliff months</t>
  </si>
  <si>
    <t>Vested today</t>
  </si>
  <si>
    <t>Exercised</t>
  </si>
  <si>
    <t>Outstanding</t>
  </si>
  <si>
    <t>Head of engineering</t>
  </si>
  <si>
    <t>Head of sales</t>
  </si>
  <si>
    <t>Senior engineer</t>
  </si>
  <si>
    <t>Product lead</t>
  </si>
  <si>
    <t>Designer</t>
  </si>
  <si>
    <t>Finance manager</t>
  </si>
  <si>
    <t>Total</t>
  </si>
  <si>
    <t>Vesting assumes a cliff then straight-line monthly vesting. Change the vest and cliff columns per grant if your scheme differs.</t>
  </si>
  <si>
    <t>Vested today recalculates every time the file opens, because it uses TODAY(). There is nothing to update.</t>
  </si>
  <si>
    <t>Options granted but not yet vested still count against the pool, which is why the Cap table sheet shows granted and unallocated separately.</t>
  </si>
  <si>
    <t>This is a management view, not your statutory register. The grant letters and the register are the record.</t>
  </si>
  <si>
    <t>Tax on ESOPs in India has two events, at exercise and at sale, and the rules differ for DPIIT-recognised startups. That is a question for your CA rather than for a spreadsheet.</t>
  </si>
  <si>
    <t>Who owned what, after each round</t>
  </si>
  <si>
    <t>Everything here is calculated from the Rounds sheet.</t>
  </si>
  <si>
    <t>After founding</t>
  </si>
  <si>
    <t>After seed</t>
  </si>
  <si>
    <t>After Series A</t>
  </si>
  <si>
    <t>After next round</t>
  </si>
  <si>
    <t>ESOP pool</t>
  </si>
  <si>
    <t>Founders combined</t>
  </si>
  <si>
    <t>Every total column should read 100%. If one does not, an input on the Rounds sheet is wrong.</t>
  </si>
  <si>
    <t>Read the Founders combined row across. That single line is what dilution actually means, and it is the number worth knowing before agreeing a pool target or a valuation.</t>
  </si>
  <si>
    <t>An investor's percentage falls at every later round unless they put more money in. That is normal, and it is why pro-rata rights exist.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</si>
</sst>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Red]-#,##0"/>
    <numFmt numFmtId="165" formatCode="0.00%;[Red]-0.00%"/>
    <numFmt numFmtId="166" formatCode="#,##0.0000;[Red]-#,##0.0000"/>
    <numFmt numFmtId="167" formatCode="dd-mmm-yyyy"/>
  </numFmts>
  <fonts count="6" x14ac:knownFonts="1">
    <font>
      <color theme="1"/>
      <family val="2"/>
      <scheme val="minor"/>
      <sz val="11"/>
      <name val="Calibri"/>
    </font>
    <font>
      <b/>
      <color rgb="FF121316"/>
      <sz val="16"/>
    </font>
    <font>
      <color rgb="FF6B6B6B"/>
      <sz val="10"/>
    </font>
    <font>
      <b/>
    </font>
    <font>
      <b/>
      <color rgb="FFFFFFFF"/>
    </font>
    <font>
      <b/>
      <color rgb="FF121316"/>
    </font>
  </fonts>
  <fills count="5">
    <fill>
      <patternFill patternType="none"/>
    </fill>
    <fill>
      <patternFill patternType="gray125"/>
    </fill>
    <fill>
      <patternFill patternType="solid">
        <fgColor rgb="FF121316"/>
      </patternFill>
    </fill>
    <fill>
      <patternFill patternType="solid">
        <fgColor rgb="FFF1F8D0"/>
      </patternFill>
    </fill>
    <fill>
      <patternFill patternType="solid">
        <fgColor rgb="FFF2F2EE"/>
      </patternFill>
    </fill>
  </fills>
  <borders count="2">
    <border>
      <left/>
      <right/>
      <top/>
      <bottom/>
      <diagonal/>
    </border>
    <border>
      <left/>
      <right/>
      <top style="thin">
        <color rgb="FF121316"/>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164" fontId="0" fillId="0" borderId="0" xfId="0" applyNumberFormat="1"/>
    <xf numFmtId="164" fontId="0" fillId="3" borderId="0" xfId="0" applyNumberFormat="1" applyFill="1"/>
    <xf numFmtId="165" fontId="0" fillId="0" borderId="0" xfId="0" applyNumberFormat="1"/>
    <xf numFmtId="165" fontId="0" fillId="3" borderId="0" xfId="0" applyNumberFormat="1" applyFill="1"/>
    <xf numFmtId="0" fontId="3" fillId="0" borderId="1" xfId="0" applyFont="1" applyBorder="1"/>
    <xf numFmtId="164" fontId="3" fillId="0" borderId="1" xfId="0" applyNumberFormat="1" applyFont="1" applyBorder="1"/>
    <xf numFmtId="166" fontId="0" fillId="3" borderId="0" xfId="0" applyNumberFormat="1" applyFill="1"/>
    <xf numFmtId="166" fontId="0" fillId="0" borderId="0" xfId="0" applyNumberFormat="1"/>
    <xf numFmtId="0" fontId="0" fillId="3" borderId="0" xfId="0" applyFill="1"/>
    <xf numFmtId="165" fontId="3" fillId="0" borderId="1" xfId="0" applyNumberFormat="1" applyFont="1" applyBorder="1"/>
    <xf numFmtId="0" fontId="5" fillId="4" borderId="0" xfId="0" applyFont="1" applyFill="1"/>
    <xf numFmtId="0" fontId="0" fillId="4" borderId="0" xfId="0" applyFill="1"/>
    <xf numFmtId="0" fontId="3" fillId="0" borderId="0" xfId="0" applyFont="1"/>
    <xf numFmtId="0" fontId="2" fillId="0" borderId="0" xfId="0" applyFont="1" applyAlignment="1">
      <alignment vertical="top" wrapText="1"/>
    </xf>
    <xf numFmtId="164" fontId="3" fillId="0" borderId="0" xfId="0" applyNumberFormat="1" applyFont="1"/>
    <xf numFmtId="167" fontId="0" fillId="3" borderId="0" xfId="0" applyNumberFormat="1" applyFill="1"/>
    <xf numFmtId="165"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8F850"/>
  </sheetPr>
  <dimension ref="A1:A28"/>
  <sheetViews>
    <sheetView workbookViewId="0" showGridLines="0"/>
  </sheetViews>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4" t="s">
        <v>4</v>
      </c>
    </row>
    <row r="7" spans="1:1" x14ac:dyDescent="0.25">
      <c r="A7" s="3"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4" t="s">
        <v>4</v>
      </c>
    </row>
    <row r="13" spans="1:1" x14ac:dyDescent="0.25">
      <c r="A13" s="4" t="s">
        <v>10</v>
      </c>
    </row>
    <row r="14" spans="1:1" x14ac:dyDescent="0.25">
      <c r="A14" s="4" t="s">
        <v>4</v>
      </c>
    </row>
    <row r="15" spans="1:1" x14ac:dyDescent="0.25">
      <c r="A15" s="3" t="s">
        <v>11</v>
      </c>
    </row>
    <row r="16" spans="1:1" x14ac:dyDescent="0.25">
      <c r="A16" s="4" t="s">
        <v>12</v>
      </c>
    </row>
    <row r="17" spans="1:1" x14ac:dyDescent="0.25">
      <c r="A17" s="4" t="s">
        <v>13</v>
      </c>
    </row>
    <row r="18" spans="1:1" x14ac:dyDescent="0.25">
      <c r="A18" s="4" t="s">
        <v>4</v>
      </c>
    </row>
    <row r="19" spans="1:1" x14ac:dyDescent="0.25">
      <c r="A19" s="3" t="s">
        <v>14</v>
      </c>
    </row>
    <row r="20" spans="1:1" x14ac:dyDescent="0.25">
      <c r="A20" s="4" t="s">
        <v>15</v>
      </c>
    </row>
    <row r="21" spans="1:1" x14ac:dyDescent="0.25">
      <c r="A21" s="4" t="s">
        <v>4</v>
      </c>
    </row>
    <row r="22" spans="1:1" x14ac:dyDescent="0.25">
      <c r="A22" s="3" t="s">
        <v>16</v>
      </c>
    </row>
    <row r="23" spans="1:1" x14ac:dyDescent="0.25">
      <c r="A23" s="4" t="s">
        <v>17</v>
      </c>
    </row>
    <row r="24" spans="1:1" x14ac:dyDescent="0.25">
      <c r="A24" s="4" t="s">
        <v>18</v>
      </c>
    </row>
    <row r="25" spans="1:1" x14ac:dyDescent="0.25">
      <c r="A25" s="4" t="s">
        <v>19</v>
      </c>
    </row>
    <row r="26" spans="1:1" x14ac:dyDescent="0.25">
      <c r="A26" s="4" t="s">
        <v>20</v>
      </c>
    </row>
    <row r="27" spans="1:1" x14ac:dyDescent="0.25">
      <c r="A27" s="4" t="s">
        <v>4</v>
      </c>
    </row>
    <row r="28" spans="1:1" x14ac:dyDescent="0.25">
      <c r="A28" s="4"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E23"/>
  <sheetViews>
    <sheetView workbookViewId="0" showGridLines="0"/>
  </sheetViews>
  <sheetFormatPr defaultRowHeight="15" outlineLevelRow="0" outlineLevelCol="0" x14ac:dyDescent="55"/>
  <cols>
    <col min="1" max="1" width="40" customWidth="1"/>
    <col min="2" max="5" width="20" customWidth="1"/>
  </cols>
  <sheetData>
    <row r="1" spans="1:1" x14ac:dyDescent="0.25">
      <c r="A1" s="1" t="s">
        <v>22</v>
      </c>
    </row>
    <row r="2" spans="1:1" x14ac:dyDescent="0.25">
      <c r="A2" s="2" t="s">
        <v>23</v>
      </c>
    </row>
    <row r="4" ht="28" customHeight="1" spans="1:5" x14ac:dyDescent="0.25">
      <c r="A4" s="5" t="s">
        <v>4</v>
      </c>
      <c r="B4" s="5" t="s">
        <v>24</v>
      </c>
      <c r="C4" s="5" t="s">
        <v>25</v>
      </c>
      <c r="D4" s="5" t="s">
        <v>26</v>
      </c>
      <c r="E4" s="5" t="s">
        <v>27</v>
      </c>
    </row>
    <row r="5" spans="1:5" x14ac:dyDescent="0.25">
      <c r="A5" t="s">
        <v>28</v>
      </c>
      <c r="B5" s="6"/>
      <c r="C5" s="7">
        <v>80000000</v>
      </c>
      <c r="D5" s="7">
        <v>400000000</v>
      </c>
      <c r="E5" s="7"/>
    </row>
    <row r="6" spans="1:5" x14ac:dyDescent="0.25">
      <c r="A6" t="s">
        <v>29</v>
      </c>
      <c r="B6" s="6">
        <f>B9*B15</f>
      </c>
      <c r="C6" s="7">
        <v>20000000</v>
      </c>
      <c r="D6" s="7">
        <v>100000000</v>
      </c>
      <c r="E6" s="7"/>
    </row>
    <row r="7" spans="1:5" x14ac:dyDescent="0.25">
      <c r="A7" t="s">
        <v>30</v>
      </c>
      <c r="B7" s="6"/>
      <c r="C7" s="6">
        <f>IF(C5="","",C5+C6)</f>
      </c>
      <c r="D7" s="6">
        <f>IF(D5="","",D5+D6)</f>
      </c>
      <c r="E7" s="6">
        <f>IF(E5="","",E5+E6)</f>
      </c>
    </row>
    <row r="8" spans="1:5" x14ac:dyDescent="0.25">
      <c r="A8" t="s">
        <v>31</v>
      </c>
      <c r="B8" s="8"/>
      <c r="C8" s="9">
        <v>0.1</v>
      </c>
      <c r="D8" s="9">
        <v>0.12</v>
      </c>
      <c r="E8" s="9"/>
    </row>
    <row r="9" spans="1:5" x14ac:dyDescent="0.25">
      <c r="A9" t="s">
        <v>32</v>
      </c>
      <c r="B9" s="7">
        <v>10000000</v>
      </c>
      <c r="C9" s="6">
        <f>IFERROR(B11-B13,"")</f>
      </c>
      <c r="D9" s="6">
        <f>IFERROR(C11-C13,"")</f>
      </c>
      <c r="E9" s="6">
        <f>IFERROR(D11-D13,"")</f>
      </c>
    </row>
    <row r="10" spans="1:5" x14ac:dyDescent="0.25">
      <c r="A10" t="s">
        <v>33</v>
      </c>
      <c r="B10" s="8"/>
      <c r="C10" s="8">
        <f>IFERROR(C6/C7,"")</f>
      </c>
      <c r="D10" s="8">
        <f>IFERROR(D6/D7,"")</f>
      </c>
      <c r="E10" s="8">
        <f>IFERROR(E6/E7,"")</f>
      </c>
    </row>
    <row r="11" spans="1:5" x14ac:dyDescent="0.25">
      <c r="A11" s="10" t="s">
        <v>34</v>
      </c>
      <c r="B11" s="11">
        <f>B9</f>
      </c>
      <c r="C11" s="11">
        <f>IF(OR(C5="",C6=""),"",IFERROR(C9/(1-C10-C8),""))</f>
      </c>
      <c r="D11" s="11">
        <f>IF(OR(D5="",D6=""),"",IFERROR(D9/(1-D10-D8),""))</f>
      </c>
      <c r="E11" s="11">
        <f>IF(OR(E5="",E6=""),"",IFERROR(E9/(1-E10-E8),""))</f>
      </c>
    </row>
    <row r="12" spans="1:5" x14ac:dyDescent="0.25">
      <c r="A12" t="s">
        <v>35</v>
      </c>
      <c r="B12" s="6"/>
      <c r="C12" s="6">
        <f>IFERROR(C11*C10,"")</f>
      </c>
      <c r="D12" s="6">
        <f>IFERROR(D11*D10,"")</f>
      </c>
      <c r="E12" s="6">
        <f>IFERROR(E11*E10,"")</f>
      </c>
    </row>
    <row r="13" spans="1:5" x14ac:dyDescent="0.25">
      <c r="A13" t="s">
        <v>36</v>
      </c>
      <c r="B13" s="6">
        <v>0</v>
      </c>
      <c r="C13" s="6">
        <f>IFERROR(C11*C8,B13)</f>
      </c>
      <c r="D13" s="6">
        <f>IFERROR(D11*D8,C13)</f>
      </c>
      <c r="E13" s="6">
        <f>IFERROR(E11*E8,D13)</f>
      </c>
    </row>
    <row r="14" spans="1:5" x14ac:dyDescent="0.25">
      <c r="A14" t="s">
        <v>37</v>
      </c>
      <c r="B14" s="6"/>
      <c r="C14" s="6">
        <f>IFERROR(C13-B13,"")</f>
      </c>
      <c r="D14" s="6">
        <f>IFERROR(D13-C13,"")</f>
      </c>
      <c r="E14" s="6">
        <f>IFERROR(E13-D13,"")</f>
      </c>
    </row>
    <row r="15" spans="1:5" x14ac:dyDescent="0.25">
      <c r="A15" t="s">
        <v>38</v>
      </c>
      <c r="B15" s="12">
        <v>0.01</v>
      </c>
      <c r="C15" s="13">
        <f>IFERROR(C6/C12,"")</f>
      </c>
      <c r="D15" s="13">
        <f>IFERROR(D6/D12,"")</f>
      </c>
      <c r="E15" s="13">
        <f>IFERROR(E6/E12,"")</f>
      </c>
    </row>
    <row r="16" spans="1:5" x14ac:dyDescent="0.25">
      <c r="A16" t="s">
        <v>39</v>
      </c>
      <c r="B16" s="6"/>
      <c r="C16" s="6">
        <f>IFERROR((C11-C12)*C15,"")</f>
      </c>
      <c r="D16" s="6">
        <f>IFERROR((D11-D12)*D15,"")</f>
      </c>
      <c r="E16" s="6">
        <f>IFERROR((E11-E12)*E15,"")</f>
      </c>
    </row>
    <row r="17" spans="1:5" x14ac:dyDescent="0.25">
      <c r="A17" s="10" t="s">
        <v>40</v>
      </c>
      <c r="B17" s="10"/>
      <c r="C17" s="10">
        <f>IF(C5="","",IF(ABS(C16-C5)&lt;1,"Ties","Check the inputs"))</f>
      </c>
      <c r="D17" s="10">
        <f>IF(D5="","",IF(ABS(D16-D5)&lt;1,"Ties","Check the inputs"))</f>
      </c>
      <c r="E17" s="10">
        <f>IF(E5="","",IF(ABS(E16-E5)&lt;1,"Ties","Check the inputs"))</f>
      </c>
    </row>
    <row r="18" spans="1:5" x14ac:dyDescent="0.25">
      <c r="A18" t="s">
        <v>41</v>
      </c>
      <c r="B18" s="8">
        <f>IFERROR(B9/B11,"")</f>
      </c>
      <c r="C18" s="8">
        <f>IFERROR(C9/C11,"")</f>
      </c>
      <c r="D18" s="8">
        <f>IFERROR(D9/D11,"")</f>
      </c>
      <c r="E18" s="8">
        <f>IFERROR(E9/E11,"")</f>
      </c>
    </row>
    <row r="20" spans="1:1" x14ac:dyDescent="0.25">
      <c r="A20" s="4" t="s">
        <v>42</v>
      </c>
    </row>
    <row r="21" spans="1:1" x14ac:dyDescent="0.25">
      <c r="A21" s="4" t="s">
        <v>43</v>
      </c>
    </row>
    <row r="22" spans="1:1" x14ac:dyDescent="0.25">
      <c r="A22" s="4" t="s">
        <v>44</v>
      </c>
    </row>
    <row r="23" spans="1:1" x14ac:dyDescent="0.25">
      <c r="A23" s="4" t="s">
        <v>45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F19"/>
  <sheetViews>
    <sheetView workbookViewId="0" showGridLines="0"/>
  </sheetViews>
  <sheetFormatPr defaultRowHeight="15" outlineLevelRow="0" outlineLevelCol="0" x14ac:dyDescent="55"/>
  <cols>
    <col min="1" max="1" width="28" customWidth="1"/>
    <col min="2" max="2" width="22" customWidth="1"/>
    <col min="3" max="3" width="18" customWidth="1"/>
    <col min="4" max="4" width="16" customWidth="1"/>
    <col min="5" max="5" width="20" customWidth="1"/>
    <col min="6" max="6" width="16" customWidth="1"/>
  </cols>
  <sheetData>
    <row r="1" spans="1:1" x14ac:dyDescent="0.25">
      <c r="A1" s="1" t="s">
        <v>46</v>
      </c>
    </row>
    <row r="2" spans="1:1" x14ac:dyDescent="0.25">
      <c r="A2" s="2" t="s">
        <v>47</v>
      </c>
    </row>
    <row r="4" ht="28" customHeight="1" spans="1:6" x14ac:dyDescent="0.25">
      <c r="A4" s="5" t="s">
        <v>48</v>
      </c>
      <c r="B4" s="5" t="s">
        <v>49</v>
      </c>
      <c r="C4" s="5" t="s">
        <v>50</v>
      </c>
      <c r="D4" s="5" t="s">
        <v>51</v>
      </c>
      <c r="E4" s="5" t="s">
        <v>52</v>
      </c>
      <c r="F4" s="5" t="s">
        <v>53</v>
      </c>
    </row>
    <row r="5" spans="1:6" x14ac:dyDescent="0.25">
      <c r="A5" s="14" t="s">
        <v>54</v>
      </c>
      <c r="B5" s="14" t="s">
        <v>55</v>
      </c>
      <c r="C5" s="7">
        <v>6000000</v>
      </c>
      <c r="D5" s="8">
        <f>IFERROR(C5/$C$13,"")</f>
      </c>
      <c r="E5" s="6">
        <f>C5*Rounds!$B$15</f>
      </c>
      <c r="F5" s="13">
        <f>Rounds!$B$15</f>
      </c>
    </row>
    <row r="6" spans="1:6" x14ac:dyDescent="0.25">
      <c r="A6" s="14" t="s">
        <v>56</v>
      </c>
      <c r="B6" s="14" t="s">
        <v>55</v>
      </c>
      <c r="C6" s="7">
        <v>4000000</v>
      </c>
      <c r="D6" s="8">
        <f>IFERROR(C6/$C$13,"")</f>
      </c>
      <c r="E6" s="6">
        <f>C6*Rounds!$B$15</f>
      </c>
      <c r="F6" s="13">
        <f>Rounds!$B$15</f>
      </c>
    </row>
    <row r="7" spans="1:6" x14ac:dyDescent="0.25">
      <c r="A7" s="14" t="s">
        <v>57</v>
      </c>
      <c r="B7" s="14" t="s">
        <v>58</v>
      </c>
      <c r="C7" s="6">
        <f>IFERROR(Rounds!C12,0)</f>
      </c>
      <c r="D7" s="8">
        <f>IFERROR(C7/$C$13,"")</f>
      </c>
      <c r="E7" s="6">
        <f>IFERROR(Rounds!C6,0)</f>
      </c>
      <c r="F7" s="13">
        <f>IFERROR(Rounds!C15,"")</f>
      </c>
    </row>
    <row r="8" spans="1:6" x14ac:dyDescent="0.25">
      <c r="A8" s="14" t="s">
        <v>59</v>
      </c>
      <c r="B8" s="14" t="s">
        <v>60</v>
      </c>
      <c r="C8" s="6">
        <f>IFERROR(Rounds!D12,0)</f>
      </c>
      <c r="D8" s="8">
        <f>IFERROR(C8/$C$13,"")</f>
      </c>
      <c r="E8" s="6">
        <f>IFERROR(Rounds!D6,0)</f>
      </c>
      <c r="F8" s="13">
        <f>IFERROR(Rounds!D15,"")</f>
      </c>
    </row>
    <row r="9" spans="1:6" x14ac:dyDescent="0.25">
      <c r="A9" s="14" t="s">
        <v>61</v>
      </c>
      <c r="B9" s="14" t="s">
        <v>62</v>
      </c>
      <c r="C9" s="6">
        <f>IFERROR(Rounds!E12,0)</f>
      </c>
      <c r="D9" s="8">
        <f>IFERROR(C9/$C$13,"")</f>
      </c>
      <c r="E9" s="6">
        <f>IFERROR(Rounds!E6,0)</f>
      </c>
      <c r="F9" s="13">
        <f>IFERROR(Rounds!E15,"")</f>
      </c>
    </row>
    <row r="10" spans="1:6" x14ac:dyDescent="0.25">
      <c r="A10" t="s">
        <v>63</v>
      </c>
      <c r="B10" t="s">
        <v>64</v>
      </c>
      <c r="C10" s="6">
        <f>'ESOP grants'!$C$5</f>
      </c>
      <c r="D10" s="8">
        <f>IFERROR(C10/$C$13,"")</f>
      </c>
      <c r="E10" s="6">
        <v>0</v>
      </c>
      <c r="F10" s="13"/>
    </row>
    <row r="11" spans="1:6" x14ac:dyDescent="0.25">
      <c r="A11" t="s">
        <v>65</v>
      </c>
      <c r="B11" t="s">
        <v>64</v>
      </c>
      <c r="C11" s="6">
        <f>MAX(0,'ESOP grants'!$C$4-'ESOP grants'!$C$5)</f>
      </c>
      <c r="D11" s="8">
        <f>IFERROR(C11/$C$13,"")</f>
      </c>
      <c r="E11" s="6">
        <v>0</v>
      </c>
      <c r="F11" s="13"/>
    </row>
    <row r="13" spans="1:6" x14ac:dyDescent="0.25">
      <c r="A13" s="10" t="s">
        <v>66</v>
      </c>
      <c r="B13" s="10"/>
      <c r="C13" s="11">
        <f>SUM(C5:C11)</f>
      </c>
      <c r="D13" s="15">
        <f>IFERROR(C13/C13,"")</f>
      </c>
      <c r="E13" s="11">
        <f>SUM(E5:E11)</f>
      </c>
      <c r="F13" s="10"/>
    </row>
    <row r="15" spans="1:6" x14ac:dyDescent="0.25">
      <c r="A15" s="16" t="s">
        <v>67</v>
      </c>
      <c r="B15" s="17"/>
      <c r="C15" s="17"/>
      <c r="D15" s="17"/>
      <c r="E15" s="17"/>
      <c r="F15" s="17"/>
    </row>
    <row r="16" spans="1:3" x14ac:dyDescent="0.25">
      <c r="A16" t="s">
        <v>68</v>
      </c>
      <c r="B16" s="18">
        <f>IF(ABS(SUM(C5:C6)-Rounds!B9)&lt;1,"Ties","Check: founders here do not match Rounds")</f>
      </c>
      <c r="C16" s="19" t="s">
        <v>69</v>
      </c>
    </row>
    <row r="17" spans="1:3" x14ac:dyDescent="0.25">
      <c r="A17" t="s">
        <v>70</v>
      </c>
      <c r="B17" s="18">
        <f>IF(ABS(C13-MAX(Rounds!B11:E11))&lt;2,"Ties","Check: total does not match the last round")</f>
      </c>
      <c r="C17" s="19" t="s">
        <v>71</v>
      </c>
    </row>
    <row r="18" spans="1:2" x14ac:dyDescent="0.25">
      <c r="A18" t="s">
        <v>72</v>
      </c>
      <c r="B18" s="18">
        <f>IF(ABS(SUM(D5:D11)-1)&lt;0.0001,"Ties","Check")</f>
      </c>
    </row>
    <row r="19" spans="1:2" x14ac:dyDescent="0.25">
      <c r="A19" t="s">
        <v>73</v>
      </c>
      <c r="B19" s="18">
        <f>IF('ESOP grants'!$C$5&lt;='ESOP grants'!$C$4,"Ties","Check: more granted than the pool holds")</f>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H35"/>
  <sheetViews>
    <sheetView workbookViewId="0" showGridLines="0"/>
  </sheetViews>
  <sheetFormatPr defaultRowHeight="15" outlineLevelRow="0" outlineLevelCol="0" x14ac:dyDescent="55"/>
  <cols>
    <col min="1" max="1" width="26" customWidth="1"/>
    <col min="2" max="3" width="16" customWidth="1"/>
    <col min="4" max="4" width="14" customWidth="1"/>
    <col min="5" max="5" width="13" customWidth="1"/>
    <col min="6" max="7" width="14" customWidth="1"/>
    <col min="8" max="8" width="16" customWidth="1"/>
  </cols>
  <sheetData>
    <row r="1" spans="1:1" x14ac:dyDescent="0.25">
      <c r="A1" s="1" t="s">
        <v>74</v>
      </c>
    </row>
    <row r="2" spans="1:1" x14ac:dyDescent="0.25">
      <c r="A2" s="2" t="s">
        <v>75</v>
      </c>
    </row>
    <row r="4" spans="1:3" x14ac:dyDescent="0.25">
      <c r="A4" s="18" t="s">
        <v>76</v>
      </c>
      <c r="C4" s="20">
        <f>MAX(Rounds!B13:E13)</f>
      </c>
    </row>
    <row r="5" spans="1:3" x14ac:dyDescent="0.25">
      <c r="A5" s="18" t="s">
        <v>77</v>
      </c>
      <c r="C5" s="20">
        <f>SUM(C9:C28)</f>
      </c>
    </row>
    <row r="6" spans="1:3" x14ac:dyDescent="0.25">
      <c r="A6" s="18" t="s">
        <v>78</v>
      </c>
      <c r="C6" s="20">
        <f>C4-C5</f>
      </c>
    </row>
    <row r="7" spans="1:3" x14ac:dyDescent="0.25">
      <c r="A7" s="18" t="s">
        <v>79</v>
      </c>
      <c r="C7" s="20">
        <f>SUM(F9:F28)</f>
      </c>
    </row>
    <row r="8" ht="28" customHeight="1" spans="1:8" x14ac:dyDescent="0.25">
      <c r="A8" s="5" t="s">
        <v>80</v>
      </c>
      <c r="B8" s="5" t="s">
        <v>81</v>
      </c>
      <c r="C8" s="5" t="s">
        <v>82</v>
      </c>
      <c r="D8" s="5" t="s">
        <v>83</v>
      </c>
      <c r="E8" s="5" t="s">
        <v>84</v>
      </c>
      <c r="F8" s="5" t="s">
        <v>85</v>
      </c>
      <c r="G8" s="5" t="s">
        <v>86</v>
      </c>
      <c r="H8" s="5" t="s">
        <v>87</v>
      </c>
    </row>
    <row r="9" spans="1:8" x14ac:dyDescent="0.25">
      <c r="A9" s="14" t="s">
        <v>88</v>
      </c>
      <c r="B9" s="21">
        <v>45474</v>
      </c>
      <c r="C9" s="7">
        <v>420000</v>
      </c>
      <c r="D9" s="14">
        <v>48</v>
      </c>
      <c r="E9" s="14">
        <v>12</v>
      </c>
      <c r="F9" s="6">
        <f>IF(OR(B9="",C9=""),"",IF(TODAY()&lt;=B9,0,IF(DATEDIF(B9,TODAY(),"m")&lt;E9,0,MIN(C9,ROUND(C9*MIN(1,DATEDIF(B9,TODAY(),"m")/D9),0)))))</f>
      </c>
      <c r="G9" s="7">
        <v>0</v>
      </c>
      <c r="H9" s="6">
        <f>IFERROR(C9-G9,"")</f>
      </c>
    </row>
    <row r="10" spans="1:8" x14ac:dyDescent="0.25">
      <c r="A10" s="14" t="s">
        <v>89</v>
      </c>
      <c r="B10" s="21">
        <v>45672</v>
      </c>
      <c r="C10" s="7">
        <v>340000</v>
      </c>
      <c r="D10" s="14">
        <v>48</v>
      </c>
      <c r="E10" s="14">
        <v>12</v>
      </c>
      <c r="F10" s="6">
        <f>IF(OR(B10="",C10=""),"",IF(TODAY()&lt;=B10,0,IF(DATEDIF(B10,TODAY(),"m")&lt;E10,0,MIN(C10,ROUND(C10*MIN(1,DATEDIF(B10,TODAY(),"m")/D10),0)))))</f>
      </c>
      <c r="G10" s="7">
        <v>0</v>
      </c>
      <c r="H10" s="6">
        <f>IFERROR(C10-G10,"")</f>
      </c>
    </row>
    <row r="11" spans="1:8" x14ac:dyDescent="0.25">
      <c r="A11" s="14" t="s">
        <v>90</v>
      </c>
      <c r="B11" s="21">
        <v>45748</v>
      </c>
      <c r="C11" s="7">
        <v>120000</v>
      </c>
      <c r="D11" s="14">
        <v>48</v>
      </c>
      <c r="E11" s="14">
        <v>12</v>
      </c>
      <c r="F11" s="6">
        <f>IF(OR(B11="",C11=""),"",IF(TODAY()&lt;=B11,0,IF(DATEDIF(B11,TODAY(),"m")&lt;E11,0,MIN(C11,ROUND(C11*MIN(1,DATEDIF(B11,TODAY(),"m")/D11),0)))))</f>
      </c>
      <c r="G11" s="7">
        <v>0</v>
      </c>
      <c r="H11" s="6">
        <f>IFERROR(C11-G11,"")</f>
      </c>
    </row>
    <row r="12" spans="1:8" x14ac:dyDescent="0.25">
      <c r="A12" s="14" t="s">
        <v>90</v>
      </c>
      <c r="B12" s="21">
        <v>45901</v>
      </c>
      <c r="C12" s="7">
        <v>110000</v>
      </c>
      <c r="D12" s="14">
        <v>48</v>
      </c>
      <c r="E12" s="14">
        <v>12</v>
      </c>
      <c r="F12" s="6">
        <f>IF(OR(B12="",C12=""),"",IF(TODAY()&lt;=B12,0,IF(DATEDIF(B12,TODAY(),"m")&lt;E12,0,MIN(C12,ROUND(C12*MIN(1,DATEDIF(B12,TODAY(),"m")/D12),0)))))</f>
      </c>
      <c r="G12" s="7">
        <v>0</v>
      </c>
      <c r="H12" s="6">
        <f>IFERROR(C12-G12,"")</f>
      </c>
    </row>
    <row r="13" spans="1:8" x14ac:dyDescent="0.25">
      <c r="A13" s="14" t="s">
        <v>91</v>
      </c>
      <c r="B13" s="21">
        <v>46054</v>
      </c>
      <c r="C13" s="7">
        <v>180000</v>
      </c>
      <c r="D13" s="14">
        <v>48</v>
      </c>
      <c r="E13" s="14">
        <v>12</v>
      </c>
      <c r="F13" s="6">
        <f>IF(OR(B13="",C13=""),"",IF(TODAY()&lt;=B13,0,IF(DATEDIF(B13,TODAY(),"m")&lt;E13,0,MIN(C13,ROUND(C13*MIN(1,DATEDIF(B13,TODAY(),"m")/D13),0)))))</f>
      </c>
      <c r="G13" s="7">
        <v>0</v>
      </c>
      <c r="H13" s="6">
        <f>IFERROR(C13-G13,"")</f>
      </c>
    </row>
    <row r="14" spans="1:8" x14ac:dyDescent="0.25">
      <c r="A14" s="14" t="s">
        <v>92</v>
      </c>
      <c r="B14" s="21">
        <v>46127</v>
      </c>
      <c r="C14" s="7">
        <v>90000</v>
      </c>
      <c r="D14" s="14">
        <v>48</v>
      </c>
      <c r="E14" s="14">
        <v>12</v>
      </c>
      <c r="F14" s="6">
        <f>IF(OR(B14="",C14=""),"",IF(TODAY()&lt;=B14,0,IF(DATEDIF(B14,TODAY(),"m")&lt;E14,0,MIN(C14,ROUND(C14*MIN(1,DATEDIF(B14,TODAY(),"m")/D14),0)))))</f>
      </c>
      <c r="G14" s="7">
        <v>0</v>
      </c>
      <c r="H14" s="6">
        <f>IFERROR(C14-G14,"")</f>
      </c>
    </row>
    <row r="15" spans="1:8" x14ac:dyDescent="0.25">
      <c r="A15" s="14" t="s">
        <v>93</v>
      </c>
      <c r="B15" s="21">
        <v>46174</v>
      </c>
      <c r="C15" s="7">
        <v>140000</v>
      </c>
      <c r="D15" s="14">
        <v>48</v>
      </c>
      <c r="E15" s="14">
        <v>12</v>
      </c>
      <c r="F15" s="6">
        <f>IF(OR(B15="",C15=""),"",IF(TODAY()&lt;=B15,0,IF(DATEDIF(B15,TODAY(),"m")&lt;E15,0,MIN(C15,ROUND(C15*MIN(1,DATEDIF(B15,TODAY(),"m")/D15),0)))))</f>
      </c>
      <c r="G15" s="7">
        <v>0</v>
      </c>
      <c r="H15" s="6">
        <f>IFERROR(C15-G15,"")</f>
      </c>
    </row>
    <row r="16" spans="1:8" x14ac:dyDescent="0.25">
      <c r="A16" s="14"/>
      <c r="B16" s="21"/>
      <c r="C16" s="7"/>
      <c r="D16" s="14"/>
      <c r="E16" s="14"/>
      <c r="F16" s="6">
        <f>IF(OR(B16="",C16=""),"",IF(TODAY()&lt;=B16,0,IF(DATEDIF(B16,TODAY(),"m")&lt;E16,0,MIN(C16,ROUND(C16*MIN(1,DATEDIF(B16,TODAY(),"m")/D16),0)))))</f>
      </c>
      <c r="G16" s="7"/>
      <c r="H16" s="6">
        <f>IF(C16="","",C16-N(G16))</f>
      </c>
    </row>
    <row r="17" spans="1:8" x14ac:dyDescent="0.25">
      <c r="A17" s="14"/>
      <c r="B17" s="21"/>
      <c r="C17" s="7"/>
      <c r="D17" s="14"/>
      <c r="E17" s="14"/>
      <c r="F17" s="6">
        <f>IF(OR(B17="",C17=""),"",IF(TODAY()&lt;=B17,0,IF(DATEDIF(B17,TODAY(),"m")&lt;E17,0,MIN(C17,ROUND(C17*MIN(1,DATEDIF(B17,TODAY(),"m")/D17),0)))))</f>
      </c>
      <c r="G17" s="7"/>
      <c r="H17" s="6">
        <f>IF(C17="","",C17-N(G17))</f>
      </c>
    </row>
    <row r="18" spans="1:8" x14ac:dyDescent="0.25">
      <c r="A18" s="14"/>
      <c r="B18" s="21"/>
      <c r="C18" s="7"/>
      <c r="D18" s="14"/>
      <c r="E18" s="14"/>
      <c r="F18" s="6">
        <f>IF(OR(B18="",C18=""),"",IF(TODAY()&lt;=B18,0,IF(DATEDIF(B18,TODAY(),"m")&lt;E18,0,MIN(C18,ROUND(C18*MIN(1,DATEDIF(B18,TODAY(),"m")/D18),0)))))</f>
      </c>
      <c r="G18" s="7"/>
      <c r="H18" s="6">
        <f>IF(C18="","",C18-N(G18))</f>
      </c>
    </row>
    <row r="19" spans="1:8" x14ac:dyDescent="0.25">
      <c r="A19" s="14"/>
      <c r="B19" s="21"/>
      <c r="C19" s="7"/>
      <c r="D19" s="14"/>
      <c r="E19" s="14"/>
      <c r="F19" s="6">
        <f>IF(OR(B19="",C19=""),"",IF(TODAY()&lt;=B19,0,IF(DATEDIF(B19,TODAY(),"m")&lt;E19,0,MIN(C19,ROUND(C19*MIN(1,DATEDIF(B19,TODAY(),"m")/D19),0)))))</f>
      </c>
      <c r="G19" s="7"/>
      <c r="H19" s="6">
        <f>IF(C19="","",C19-N(G19))</f>
      </c>
    </row>
    <row r="20" spans="1:8" x14ac:dyDescent="0.25">
      <c r="A20" s="14"/>
      <c r="B20" s="21"/>
      <c r="C20" s="7"/>
      <c r="D20" s="14"/>
      <c r="E20" s="14"/>
      <c r="F20" s="6">
        <f>IF(OR(B20="",C20=""),"",IF(TODAY()&lt;=B20,0,IF(DATEDIF(B20,TODAY(),"m")&lt;E20,0,MIN(C20,ROUND(C20*MIN(1,DATEDIF(B20,TODAY(),"m")/D20),0)))))</f>
      </c>
      <c r="G20" s="7"/>
      <c r="H20" s="6">
        <f>IF(C20="","",C20-N(G20))</f>
      </c>
    </row>
    <row r="21" spans="1:8" x14ac:dyDescent="0.25">
      <c r="A21" s="14"/>
      <c r="B21" s="21"/>
      <c r="C21" s="7"/>
      <c r="D21" s="14"/>
      <c r="E21" s="14"/>
      <c r="F21" s="6">
        <f>IF(OR(B21="",C21=""),"",IF(TODAY()&lt;=B21,0,IF(DATEDIF(B21,TODAY(),"m")&lt;E21,0,MIN(C21,ROUND(C21*MIN(1,DATEDIF(B21,TODAY(),"m")/D21),0)))))</f>
      </c>
      <c r="G21" s="7"/>
      <c r="H21" s="6">
        <f>IF(C21="","",C21-N(G21))</f>
      </c>
    </row>
    <row r="22" spans="1:8" x14ac:dyDescent="0.25">
      <c r="A22" s="14"/>
      <c r="B22" s="21"/>
      <c r="C22" s="7"/>
      <c r="D22" s="14"/>
      <c r="E22" s="14"/>
      <c r="F22" s="6">
        <f>IF(OR(B22="",C22=""),"",IF(TODAY()&lt;=B22,0,IF(DATEDIF(B22,TODAY(),"m")&lt;E22,0,MIN(C22,ROUND(C22*MIN(1,DATEDIF(B22,TODAY(),"m")/D22),0)))))</f>
      </c>
      <c r="G22" s="7"/>
      <c r="H22" s="6">
        <f>IF(C22="","",C22-N(G22))</f>
      </c>
    </row>
    <row r="23" spans="1:8" x14ac:dyDescent="0.25">
      <c r="A23" s="14"/>
      <c r="B23" s="21"/>
      <c r="C23" s="7"/>
      <c r="D23" s="14"/>
      <c r="E23" s="14"/>
      <c r="F23" s="6">
        <f>IF(OR(B23="",C23=""),"",IF(TODAY()&lt;=B23,0,IF(DATEDIF(B23,TODAY(),"m")&lt;E23,0,MIN(C23,ROUND(C23*MIN(1,DATEDIF(B23,TODAY(),"m")/D23),0)))))</f>
      </c>
      <c r="G23" s="7"/>
      <c r="H23" s="6">
        <f>IF(C23="","",C23-N(G23))</f>
      </c>
    </row>
    <row r="24" spans="1:8" x14ac:dyDescent="0.25">
      <c r="A24" s="14"/>
      <c r="B24" s="21"/>
      <c r="C24" s="7"/>
      <c r="D24" s="14"/>
      <c r="E24" s="14"/>
      <c r="F24" s="6">
        <f>IF(OR(B24="",C24=""),"",IF(TODAY()&lt;=B24,0,IF(DATEDIF(B24,TODAY(),"m")&lt;E24,0,MIN(C24,ROUND(C24*MIN(1,DATEDIF(B24,TODAY(),"m")/D24),0)))))</f>
      </c>
      <c r="G24" s="7"/>
      <c r="H24" s="6">
        <f>IF(C24="","",C24-N(G24))</f>
      </c>
    </row>
    <row r="25" spans="1:8" x14ac:dyDescent="0.25">
      <c r="A25" s="14"/>
      <c r="B25" s="21"/>
      <c r="C25" s="7"/>
      <c r="D25" s="14"/>
      <c r="E25" s="14"/>
      <c r="F25" s="6">
        <f>IF(OR(B25="",C25=""),"",IF(TODAY()&lt;=B25,0,IF(DATEDIF(B25,TODAY(),"m")&lt;E25,0,MIN(C25,ROUND(C25*MIN(1,DATEDIF(B25,TODAY(),"m")/D25),0)))))</f>
      </c>
      <c r="G25" s="7"/>
      <c r="H25" s="6">
        <f>IF(C25="","",C25-N(G25))</f>
      </c>
    </row>
    <row r="26" spans="1:8" x14ac:dyDescent="0.25">
      <c r="A26" s="14"/>
      <c r="B26" s="21"/>
      <c r="C26" s="7"/>
      <c r="D26" s="14"/>
      <c r="E26" s="14"/>
      <c r="F26" s="6">
        <f>IF(OR(B26="",C26=""),"",IF(TODAY()&lt;=B26,0,IF(DATEDIF(B26,TODAY(),"m")&lt;E26,0,MIN(C26,ROUND(C26*MIN(1,DATEDIF(B26,TODAY(),"m")/D26),0)))))</f>
      </c>
      <c r="G26" s="7"/>
      <c r="H26" s="6">
        <f>IF(C26="","",C26-N(G26))</f>
      </c>
    </row>
    <row r="27" spans="1:8" x14ac:dyDescent="0.25">
      <c r="A27" s="14"/>
      <c r="B27" s="21"/>
      <c r="C27" s="7"/>
      <c r="D27" s="14"/>
      <c r="E27" s="14"/>
      <c r="F27" s="6">
        <f>IF(OR(B27="",C27=""),"",IF(TODAY()&lt;=B27,0,IF(DATEDIF(B27,TODAY(),"m")&lt;E27,0,MIN(C27,ROUND(C27*MIN(1,DATEDIF(B27,TODAY(),"m")/D27),0)))))</f>
      </c>
      <c r="G27" s="7"/>
      <c r="H27" s="6">
        <f>IF(C27="","",C27-N(G27))</f>
      </c>
    </row>
    <row r="28" spans="1:8" x14ac:dyDescent="0.25">
      <c r="A28" s="14"/>
      <c r="B28" s="21"/>
      <c r="C28" s="7"/>
      <c r="D28" s="14"/>
      <c r="E28" s="14"/>
      <c r="F28" s="6">
        <f>IF(OR(B28="",C28=""),"",IF(TODAY()&lt;=B28,0,IF(DATEDIF(B28,TODAY(),"m")&lt;E28,0,MIN(C28,ROUND(C28*MIN(1,DATEDIF(B28,TODAY(),"m")/D28),0)))))</f>
      </c>
      <c r="G28" s="7"/>
      <c r="H28" s="6">
        <f>IF(C28="","",C28-N(G28))</f>
      </c>
    </row>
    <row r="29" spans="1:8" x14ac:dyDescent="0.25">
      <c r="A29" s="10" t="s">
        <v>94</v>
      </c>
      <c r="B29" s="10"/>
      <c r="C29" s="11">
        <f>SUM(C9:C28)</f>
      </c>
      <c r="D29" s="10"/>
      <c r="E29" s="10"/>
      <c r="F29" s="11">
        <f>SUM(F9:F28)</f>
      </c>
      <c r="G29" s="11">
        <f>SUM(G9:G28)</f>
      </c>
      <c r="H29" s="11">
        <f>SUM(H9:H28)</f>
      </c>
    </row>
    <row r="31" spans="1:1" x14ac:dyDescent="0.25">
      <c r="A31" s="4" t="s">
        <v>95</v>
      </c>
    </row>
    <row r="32" spans="1:1" x14ac:dyDescent="0.25">
      <c r="A32" s="4" t="s">
        <v>96</v>
      </c>
    </row>
    <row r="33" spans="1:1" x14ac:dyDescent="0.25">
      <c r="A33" s="4" t="s">
        <v>97</v>
      </c>
    </row>
    <row r="34" spans="1:1" x14ac:dyDescent="0.25">
      <c r="A34" s="4" t="s">
        <v>98</v>
      </c>
    </row>
    <row r="35" spans="1:1" x14ac:dyDescent="0.25">
      <c r="A35" s="4" t="s">
        <v>99</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E17"/>
  <sheetViews>
    <sheetView workbookViewId="0" showGridLines="0"/>
  </sheetViews>
  <sheetFormatPr defaultRowHeight="15" outlineLevelRow="0" outlineLevelCol="0" x14ac:dyDescent="55"/>
  <cols>
    <col min="1" max="1" width="28" customWidth="1"/>
    <col min="2" max="5" width="18" customWidth="1"/>
  </cols>
  <sheetData>
    <row r="1" spans="1:1" x14ac:dyDescent="0.25">
      <c r="A1" s="1" t="s">
        <v>100</v>
      </c>
    </row>
    <row r="2" spans="1:1" x14ac:dyDescent="0.25">
      <c r="A2" s="2" t="s">
        <v>101</v>
      </c>
    </row>
    <row r="4" ht="28" customHeight="1" spans="1:5" x14ac:dyDescent="0.25">
      <c r="A4" s="5" t="s">
        <v>48</v>
      </c>
      <c r="B4" s="5" t="s">
        <v>102</v>
      </c>
      <c r="C4" s="5" t="s">
        <v>103</v>
      </c>
      <c r="D4" s="5" t="s">
        <v>104</v>
      </c>
      <c r="E4" s="5" t="s">
        <v>105</v>
      </c>
    </row>
    <row r="5" spans="1:5" x14ac:dyDescent="0.25">
      <c r="A5" t="s">
        <v>54</v>
      </c>
      <c r="B5" s="8">
        <f>IFERROR('Cap table'!$C$5/Rounds!B11,"")</f>
      </c>
      <c r="C5" s="8">
        <f>IFERROR('Cap table'!$C$5/Rounds!C11,"")</f>
      </c>
      <c r="D5" s="8">
        <f>IFERROR('Cap table'!$C$5/Rounds!D11,"")</f>
      </c>
      <c r="E5" s="8">
        <f>IFERROR('Cap table'!$C$5/Rounds!E11,"")</f>
      </c>
    </row>
    <row r="6" spans="1:5" x14ac:dyDescent="0.25">
      <c r="A6" t="s">
        <v>56</v>
      </c>
      <c r="B6" s="8">
        <f>IFERROR('Cap table'!$C$6/Rounds!B11,"")</f>
      </c>
      <c r="C6" s="8">
        <f>IFERROR('Cap table'!$C$6/Rounds!C11,"")</f>
      </c>
      <c r="D6" s="8">
        <f>IFERROR('Cap table'!$C$6/Rounds!D11,"")</f>
      </c>
      <c r="E6" s="8">
        <f>IFERROR('Cap table'!$C$6/Rounds!E11,"")</f>
      </c>
    </row>
    <row r="7" spans="1:5" x14ac:dyDescent="0.25">
      <c r="A7" t="s">
        <v>57</v>
      </c>
      <c r="B7" s="8" t="s">
        <v>4</v>
      </c>
      <c r="C7" s="8">
        <f>IFERROR(Rounds!C12/Rounds!C11,"")</f>
      </c>
      <c r="D7" s="8">
        <f>IFERROR(Rounds!C12/Rounds!D11,"")</f>
      </c>
      <c r="E7" s="8">
        <f>IFERROR(Rounds!C12/Rounds!E11,"")</f>
      </c>
    </row>
    <row r="8" spans="1:5" x14ac:dyDescent="0.25">
      <c r="A8" t="s">
        <v>59</v>
      </c>
      <c r="B8" s="8" t="s">
        <v>4</v>
      </c>
      <c r="C8" s="8" t="s">
        <v>4</v>
      </c>
      <c r="D8" s="8">
        <f>IFERROR(Rounds!D12/Rounds!D11,"")</f>
      </c>
      <c r="E8" s="8">
        <f>IFERROR(Rounds!D12/Rounds!E11,"")</f>
      </c>
    </row>
    <row r="9" spans="1:5" x14ac:dyDescent="0.25">
      <c r="A9" t="s">
        <v>61</v>
      </c>
      <c r="B9" s="8" t="s">
        <v>4</v>
      </c>
      <c r="C9" s="8" t="s">
        <v>4</v>
      </c>
      <c r="D9" s="8" t="s">
        <v>4</v>
      </c>
      <c r="E9" s="8">
        <f>IFERROR(Rounds!E12/Rounds!E11,"")</f>
      </c>
    </row>
    <row r="10" spans="1:5" x14ac:dyDescent="0.25">
      <c r="A10" t="s">
        <v>106</v>
      </c>
      <c r="B10" s="8">
        <f>IFERROR(Rounds!B13/Rounds!B11,"")</f>
      </c>
      <c r="C10" s="8">
        <f>IFERROR(Rounds!C13/Rounds!C11,"")</f>
      </c>
      <c r="D10" s="8">
        <f>IFERROR(Rounds!D13/Rounds!D11,"")</f>
      </c>
      <c r="E10" s="8">
        <f>IFERROR(Rounds!E13/Rounds!E11,"")</f>
      </c>
    </row>
    <row r="12" spans="1:5" x14ac:dyDescent="0.25">
      <c r="A12" s="10" t="s">
        <v>94</v>
      </c>
      <c r="B12" s="15">
        <f>IFERROR(SUM(B5:B10),"")</f>
      </c>
      <c r="C12" s="15">
        <f>IFERROR(SUM(C5:C10),"")</f>
      </c>
      <c r="D12" s="15">
        <f>IFERROR(SUM(D5:D10),"")</f>
      </c>
      <c r="E12" s="15">
        <f>IFERROR(SUM(E5:E10),"")</f>
      </c>
    </row>
    <row r="13" spans="1:5" x14ac:dyDescent="0.25">
      <c r="A13" s="18" t="s">
        <v>107</v>
      </c>
      <c r="B13" s="22">
        <f>IFERROR(SUM(B5:B6),"")</f>
      </c>
      <c r="C13" s="22">
        <f>IFERROR(SUM(C5:C6),"")</f>
      </c>
      <c r="D13" s="22">
        <f>IFERROR(SUM(D5:D6),"")</f>
      </c>
      <c r="E13" s="22">
        <f>IFERROR(SUM(E5:E6),"")</f>
      </c>
    </row>
    <row r="15" spans="1:1" x14ac:dyDescent="0.25">
      <c r="A15" s="4" t="s">
        <v>108</v>
      </c>
    </row>
    <row r="16" spans="1:1" x14ac:dyDescent="0.25">
      <c r="A16" s="4" t="s">
        <v>109</v>
      </c>
    </row>
    <row r="17" spans="1:1" x14ac:dyDescent="0.25">
      <c r="A17" s="4" t="s">
        <v>110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Rounds</vt:lpstr>
      <vt:lpstr>Cap table</vt:lpstr>
      <vt:lpstr>ESOP grants</vt:lpstr>
      <vt:lpstr>Dilution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Simplify (withsimplify.in)</dc:creator>
  <dc:title/>
  <dc:subject/>
  <dc:description/>
  <cp:keywords/>
  <cp:category/>
  <cp:lastModifiedBy>Unknown</cp:lastModifiedBy>
  <dcterms:created xsi:type="dcterms:W3CDTF">2026-09-21T09:00:00Z</dcterms:created>
  <dcterms:modified xsi:type="dcterms:W3CDTF">2026-09-21T17:00:20Z</dcterms:modified>
</cp:coreProperties>
</file>