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ates" state="visible" r:id="rId5"/>
    <sheet sheetId="3" name="Plan" state="visible" r:id="rId6"/>
    <sheet sheetId="4" name="Monthly" state="visible" r:id="rId7"/>
    <sheet sheetId="5" name="Cash" state="visible" r:id="rId8"/>
  </sheets>
  <calcPr calcId="171027" fullCalcOnLoad="1"/>
</workbook>
</file>

<file path=xl/sharedStrings.xml><?xml version="1.0" encoding="utf-8"?>
<sst xmlns="http://schemas.openxmlformats.org/spreadsheetml/2006/main" count="169" uniqueCount="136">
  <si>
    <t>Hiring plan</t>
  </si>
  <si>
    <t>Free from Simplify, withsimplify.in/templates/hiring-plan</t>
  </si>
  <si>
    <t>WHAT IT DOES</t>
  </si>
  <si>
    <t>Takes a list of roles with start months and salaries, and works out what the plan actually costs month by month at fully loaded cost, then what it does to your cash.</t>
  </si>
  <si>
    <t/>
  </si>
  <si>
    <t>HOW TO USE IT</t>
  </si>
  <si>
    <t>1. Rates: the statutory rates and thresholds, in one place, so a change updates the whole plan. Check them against what your CA confirms before relying on the output.</t>
  </si>
  <si>
    <t>2. Plan: one row per role. Title, function, the month they start, annual cost to company, and any other monthly cost such as insurance and equipment. Everything else is calculated.</t>
  </si>
  <si>
    <t>3. Monthly: headcount and cost for each month of the year, with the one-time cost of hiring landing in the month each person starts.</t>
  </si>
  <si>
    <t>4. Cash: what the plan does to the bank balance, and how many months of runway are left at the end of each one.</t>
  </si>
  <si>
    <t>Shaded cells are yours. Everything else is a formula. Twelve invented roles are in the file to show the shape.</t>
  </si>
  <si>
    <t>WHY THE SALARY IS THE WRONG NUMBER</t>
  </si>
  <si>
    <t>An offer letter states a cost to company. The company pays more than that. Employer provident fund, the EDLI premium, PF administrative charges, ESIC where the salary is low enough, gratuity accrual, insurance and equipment all sit on top, and together they commonly add 10% to 15%.</t>
  </si>
  <si>
    <t>A hiring plan built on salaries alone understates the cost of a year of hiring by roughly a month of payroll, which is usually discovered in the quarter it matters.</t>
  </si>
  <si>
    <t>THE LABOUR CODES CHANGED THE BASE</t>
  </si>
  <si>
    <t>Since the four labour codes came into force on 21 November 2025, the excluded allowances cannot exceed half of total remuneration. In practice the wage base for provident fund and gratuity must be at least 50% of what you pay.</t>
  </si>
  <si>
    <t>The old structure of a low basic with large allowances no longer reduces employer contributions. The Rates sheet defaults the wage share to 50% for this reason, and you can raise it per role if your structure is different.</t>
  </si>
  <si>
    <t>TIMING IS THE PART PEOPLE GET WRONG</t>
  </si>
  <si>
    <t>A role needed in April should be started in January. Finance and senior roles commonly take 30 to 45 days to find, and then the person serves a notice period of one to three months.</t>
  </si>
  <si>
    <t>The start month in this plan is when they actually join and start costing money, not when you begin looking.</t>
  </si>
  <si>
    <t>WHAT IT IS NOT</t>
  </si>
  <si>
    <t>Not payroll, and not a substitute for your CA on what applies to your company. Rates and thresholds change.</t>
  </si>
  <si>
    <t>Not a headcount justification. It tells you what a plan costs, not whether the plan is right.</t>
  </si>
  <si>
    <t>It stops at cost. Whether a revenue role pays for itself is a separate question, and the hiring cost calculator on the site works through one hire against runway.</t>
  </si>
  <si>
    <t>Guide to using this template: withsimplify.in/templates/hiring-plan</t>
  </si>
  <si>
    <t>Statutory rates and thresholds</t>
  </si>
  <si>
    <t>As of September 2026. Confirm with your CA. Shaded cells are yours.</t>
  </si>
  <si>
    <t>PROVIDENT FUND</t>
  </si>
  <si>
    <t>Employer PF contribution</t>
  </si>
  <si>
    <t>On the wage base, not on gross pay</t>
  </si>
  <si>
    <t>EDLI premium</t>
  </si>
  <si>
    <t>Capped per employee per month, below</t>
  </si>
  <si>
    <t>EDLI cap, per employee a month</t>
  </si>
  <si>
    <t>PF administrative charges</t>
  </si>
  <si>
    <t>PF wage ceiling a month</t>
  </si>
  <si>
    <t>The statutory ceiling for mandatory coverage</t>
  </si>
  <si>
    <t>Contribute on the ceiling only?</t>
  </si>
  <si>
    <t>No</t>
  </si>
  <si>
    <t>Yes limits PF to the ceiling. No contributes on actual wages, which many funded companies do.</t>
  </si>
  <si>
    <t>ESIC</t>
  </si>
  <si>
    <t>Employer ESIC contribution</t>
  </si>
  <si>
    <t>Only for employees at or below the gross threshold</t>
  </si>
  <si>
    <t>ESIC gross wage threshold a month</t>
  </si>
  <si>
    <t>GRATUITY AND THE WAGE BASE</t>
  </si>
  <si>
    <t>Gratuity accrual</t>
  </si>
  <si>
    <t>15 days of wages a year on a 26 day month</t>
  </si>
  <si>
    <t>Wages as a share of total pay</t>
  </si>
  <si>
    <t>The labour codes require at least 50%</t>
  </si>
  <si>
    <t>Every rate here was checked against the position in September 2026. They change, and the thresholds that apply to your company depend on headcount and on which state your employees sit in.</t>
  </si>
  <si>
    <t>Professional tax is a state levy and is deducted from the employee rather than paid by the employer, so it is not in this plan. Registration is still an employer obligation in the states that levy it.</t>
  </si>
  <si>
    <t>This sheet is the only place any rate appears. Change one here and the whole plan updates.</t>
  </si>
  <si>
    <t>One row per role</t>
  </si>
  <si>
    <t>Shaded cells are yours. Every cost is calculated from the Rates sheet.</t>
  </si>
  <si>
    <t>Role</t>
  </si>
  <si>
    <t>Function</t>
  </si>
  <si>
    <t>Starts (1=Apr)</t>
  </si>
  <si>
    <t>Annual CTC</t>
  </si>
  <si>
    <t>Other monthly</t>
  </si>
  <si>
    <t>One-time hiring</t>
  </si>
  <si>
    <t>Monthly gross</t>
  </si>
  <si>
    <t>Wages</t>
  </si>
  <si>
    <t>PF</t>
  </si>
  <si>
    <t>EDLI</t>
  </si>
  <si>
    <t>PF admin</t>
  </si>
  <si>
    <t>Gratuity</t>
  </si>
  <si>
    <t>Fully loaded a month</t>
  </si>
  <si>
    <t>Senior engineer</t>
  </si>
  <si>
    <t>Engineering</t>
  </si>
  <si>
    <t>Engineer</t>
  </si>
  <si>
    <t>Account executive</t>
  </si>
  <si>
    <t>Sales</t>
  </si>
  <si>
    <t>Customer success</t>
  </si>
  <si>
    <t>Success</t>
  </si>
  <si>
    <t>Product manager</t>
  </si>
  <si>
    <t>Product</t>
  </si>
  <si>
    <t>Finance manager</t>
  </si>
  <si>
    <t>Finance</t>
  </si>
  <si>
    <t>Designer</t>
  </si>
  <si>
    <t>Sales development</t>
  </si>
  <si>
    <t>Office assistant</t>
  </si>
  <si>
    <t>Ops</t>
  </si>
  <si>
    <t>All roles</t>
  </si>
  <si>
    <t>Loading on top of CTC</t>
  </si>
  <si>
    <t>What the plan costs above the salaries in the offer letters, once everyone is in for a full year.</t>
  </si>
  <si>
    <t>Starts is the month the person actually joins, where 1 is April. Work backwards from it: finance and senior roles commonly take 30 to 45 days to find, then a notice period on top.</t>
  </si>
  <si>
    <t>Annual CTC is what the offer letter says. Other monthly covers insurance, equipment amortised, software licences and anything else per person.</t>
  </si>
  <si>
    <t>One-time hiring is the recruiter fee, referral bonus or job board spend. It lands in the month the person starts.</t>
  </si>
  <si>
    <t>ESIC appears only where monthly gross is at or below the threshold on the Rates sheet, which is why most rows show zero and one does not.</t>
  </si>
  <si>
    <t>What the plan costs, month by month</t>
  </si>
  <si>
    <t>April to March. All calculated from the Plan sheet.</t>
  </si>
  <si>
    <t>Apr</t>
  </si>
  <si>
    <t>May</t>
  </si>
  <si>
    <t>Jun</t>
  </si>
  <si>
    <t>Jul</t>
  </si>
  <si>
    <t>Aug</t>
  </si>
  <si>
    <t>Sep</t>
  </si>
  <si>
    <t>Oct</t>
  </si>
  <si>
    <t>Nov</t>
  </si>
  <si>
    <t>Dec</t>
  </si>
  <si>
    <t>Jan</t>
  </si>
  <si>
    <t>Feb</t>
  </si>
  <si>
    <t>Mar</t>
  </si>
  <si>
    <t>Year</t>
  </si>
  <si>
    <t>People on the payroll</t>
  </si>
  <si>
    <t>Joining this month</t>
  </si>
  <si>
    <t>Gross salaries</t>
  </si>
  <si>
    <t>Employer statutory cost</t>
  </si>
  <si>
    <t>Insurance, equipment and tools</t>
  </si>
  <si>
    <t>One-time cost of hiring</t>
  </si>
  <si>
    <t>Total people cost</t>
  </si>
  <si>
    <t>Cumulative for the year</t>
  </si>
  <si>
    <t>A role starting in month 7 costs six months in this year and twelve next year. The Cash sheet shows the first effect; the second is the one that catches plans out.</t>
  </si>
  <si>
    <t>The one-time cost of hiring lands in the month the person starts, which is usually the month you pay the recruiter.</t>
  </si>
  <si>
    <t>Statutory cost is PF, EDLI, PF administrative charges, ESIC where it applies and gratuity accrual, all from the Rates sheet.</t>
  </si>
  <si>
    <t>What the plan does to the bank</t>
  </si>
  <si>
    <t>Shaded rows are yours. The people cost comes from the Monthly sheet.</t>
  </si>
  <si>
    <t>Opening cash</t>
  </si>
  <si>
    <t>Cash from customers</t>
  </si>
  <si>
    <t>People cost</t>
  </si>
  <si>
    <t>Everything else</t>
  </si>
  <si>
    <t>Net movement</t>
  </si>
  <si>
    <t>Closing cash</t>
  </si>
  <si>
    <t>Net burn</t>
  </si>
  <si>
    <t>Months of runway left</t>
  </si>
  <si>
    <t>THE TWO QUESTIONS THIS SHEET ANSWERS</t>
  </si>
  <si>
    <t>Lowest cash during the year</t>
  </si>
  <si>
    <t>If this is uncomfortable, the plan is too fast or starts too early.</t>
  </si>
  <si>
    <t>Cost of this plan next year, full run rate</t>
  </si>
  <si>
    <t>Everyone in for twelve months. Almost always larger than this year's cost, and the number plans forget.</t>
  </si>
  <si>
    <t>This year's people cost</t>
  </si>
  <si>
    <t>The step up into next year</t>
  </si>
  <si>
    <t>Before a single new hire in the next plan, and before any increment.</t>
  </si>
  <si>
    <t>Cash from customers is collections, not invoiced revenue. If you invoice in month one and collect in month three, enter it in month three.</t>
  </si>
  <si>
    <t>Everything else is rent, software, marketing, professional fees and the rest of the operating base, excluding people.</t>
  </si>
  <si>
    <t>Months of runway is closing cash divided by that month's burn. It reads cash positive in any month where more came in than went out.</t>
  </si>
  <si>
    <t>The step up into next year is the figure most hiring plans never calculate. A plan that is affordable this year because people join late can be unaffordable next year at full run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</si>
</sst>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Red]-0.0%"/>
    <numFmt numFmtId="165" formatCode="#,##0;[Red]-#,##0"/>
    <numFmt numFmtId="166" formatCode="0.0"/>
  </numFmts>
  <fonts count="6" x14ac:knownFonts="1">
    <font>
      <color theme="1"/>
      <family val="2"/>
      <scheme val="minor"/>
      <sz val="11"/>
      <name val="Calibri"/>
    </font>
    <font>
      <b/>
      <color rgb="FF121316"/>
      <sz val="16"/>
    </font>
    <font>
      <color rgb="FF6B6B6B"/>
      <sz val="10"/>
    </font>
    <font>
      <b/>
    </font>
    <font>
      <b/>
      <color rgb="FF121316"/>
    </font>
    <font>
      <b/>
      <color rgb="FFFFFFFF"/>
    </font>
  </fonts>
  <fills count="5">
    <fill>
      <patternFill patternType="none"/>
    </fill>
    <fill>
      <patternFill patternType="gray125"/>
    </fill>
    <fill>
      <patternFill patternType="solid">
        <fgColor rgb="FFF2F2EE"/>
      </patternFill>
    </fill>
    <fill>
      <patternFill patternType="solid">
        <fgColor rgb="FFF1F8D0"/>
      </patternFill>
    </fill>
    <fill>
      <patternFill patternType="solid">
        <fgColor rgb="FF121316"/>
      </patternFill>
    </fill>
  </fills>
  <borders count="2">
    <border>
      <left/>
      <right/>
      <top/>
      <bottom/>
      <diagonal/>
    </border>
    <border>
      <left/>
      <right/>
      <top style="thin">
        <color rgb="FF121316"/>
      </top>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xf numFmtId="0" fontId="0" fillId="2" borderId="0" xfId="0" applyFill="1"/>
    <xf numFmtId="164" fontId="0" fillId="3" borderId="0" xfId="0" applyNumberFormat="1" applyFill="1"/>
    <xf numFmtId="0" fontId="2" fillId="0" borderId="0" xfId="0" applyFont="1" applyAlignment="1">
      <alignment vertical="top" wrapText="1"/>
    </xf>
    <xf numFmtId="165" fontId="0" fillId="3" borderId="0" xfId="0" applyNumberFormat="1" applyFill="1"/>
    <xf numFmtId="0" fontId="0" fillId="3" borderId="0" xfId="0" applyFill="1"/>
    <xf numFmtId="0" fontId="5" fillId="4" borderId="0" xfId="0" applyFont="1" applyFill="1" applyAlignment="1">
      <alignment vertical="center" wrapText="1"/>
    </xf>
    <xf numFmtId="1" fontId="0" fillId="3" borderId="0" xfId="0" applyNumberFormat="1" applyFill="1"/>
    <xf numFmtId="165" fontId="0" fillId="0" borderId="0" xfId="0" applyNumberFormat="1"/>
    <xf numFmtId="0" fontId="3" fillId="0" borderId="1" xfId="0" applyFont="1" applyBorder="1"/>
    <xf numFmtId="165" fontId="3" fillId="0" borderId="1" xfId="0" applyNumberFormat="1" applyFont="1" applyBorder="1"/>
    <xf numFmtId="0" fontId="3" fillId="0" borderId="0" xfId="0" applyFont="1"/>
    <xf numFmtId="164" fontId="3" fillId="0" borderId="0" xfId="0" applyNumberFormat="1" applyFont="1"/>
    <xf numFmtId="1" fontId="0" fillId="0" borderId="0" xfId="0" applyNumberFormat="1"/>
    <xf numFmtId="166" fontId="0" fillId="0" borderId="0" xfId="0" applyNumberFormat="1"/>
    <xf numFmtId="165"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8F850"/>
  </sheetPr>
  <dimension ref="A1:A32"/>
  <sheetViews>
    <sheetView workbookViewId="0" showGridLines="0"/>
  </sheetViews>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4" t="s">
        <v>4</v>
      </c>
    </row>
    <row r="7" spans="1:1" x14ac:dyDescent="0.25">
      <c r="A7" s="3"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4" t="s">
        <v>4</v>
      </c>
    </row>
    <row r="13" spans="1:1" x14ac:dyDescent="0.25">
      <c r="A13" s="4" t="s">
        <v>10</v>
      </c>
    </row>
    <row r="14" spans="1:1" x14ac:dyDescent="0.25">
      <c r="A14" s="4" t="s">
        <v>4</v>
      </c>
    </row>
    <row r="15" spans="1:1" x14ac:dyDescent="0.25">
      <c r="A15" s="3" t="s">
        <v>11</v>
      </c>
    </row>
    <row r="16" spans="1:1" x14ac:dyDescent="0.25">
      <c r="A16" s="4" t="s">
        <v>12</v>
      </c>
    </row>
    <row r="17" spans="1:1" x14ac:dyDescent="0.25">
      <c r="A17" s="4" t="s">
        <v>13</v>
      </c>
    </row>
    <row r="18" spans="1:1" x14ac:dyDescent="0.25">
      <c r="A18" s="4" t="s">
        <v>4</v>
      </c>
    </row>
    <row r="19" spans="1:1" x14ac:dyDescent="0.25">
      <c r="A19" s="3" t="s">
        <v>14</v>
      </c>
    </row>
    <row r="20" spans="1:1" x14ac:dyDescent="0.25">
      <c r="A20" s="4" t="s">
        <v>15</v>
      </c>
    </row>
    <row r="21" spans="1:1" x14ac:dyDescent="0.25">
      <c r="A21" s="4" t="s">
        <v>16</v>
      </c>
    </row>
    <row r="22" spans="1:1" x14ac:dyDescent="0.25">
      <c r="A22" s="4" t="s">
        <v>4</v>
      </c>
    </row>
    <row r="23" spans="1:1" x14ac:dyDescent="0.25">
      <c r="A23" s="3" t="s">
        <v>17</v>
      </c>
    </row>
    <row r="24" spans="1:1" x14ac:dyDescent="0.25">
      <c r="A24" s="4" t="s">
        <v>18</v>
      </c>
    </row>
    <row r="25" spans="1:1" x14ac:dyDescent="0.25">
      <c r="A25" s="4" t="s">
        <v>19</v>
      </c>
    </row>
    <row r="26" spans="1:1" x14ac:dyDescent="0.25">
      <c r="A26" s="4" t="s">
        <v>4</v>
      </c>
    </row>
    <row r="27" spans="1:1" x14ac:dyDescent="0.25">
      <c r="A27" s="3" t="s">
        <v>20</v>
      </c>
    </row>
    <row r="28" spans="1:1" x14ac:dyDescent="0.25">
      <c r="A28" s="4" t="s">
        <v>21</v>
      </c>
    </row>
    <row r="29" spans="1:1" x14ac:dyDescent="0.25">
      <c r="A29" s="4" t="s">
        <v>22</v>
      </c>
    </row>
    <row r="30" spans="1:1" x14ac:dyDescent="0.25">
      <c r="A30" s="4" t="s">
        <v>23</v>
      </c>
    </row>
    <row r="31" spans="1:1" x14ac:dyDescent="0.25">
      <c r="A31" s="4" t="s">
        <v>4</v>
      </c>
    </row>
    <row r="32" spans="1:1" x14ac:dyDescent="0.25">
      <c r="A32" s="4" t="s">
        <v>24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C23"/>
  <sheetViews>
    <sheetView workbookViewId="0" showGridLines="0"/>
  </sheetViews>
  <sheetFormatPr defaultRowHeight="15" outlineLevelRow="0" outlineLevelCol="0" x14ac:dyDescent="55"/>
  <cols>
    <col min="1" max="1" width="46" customWidth="1"/>
    <col min="2" max="2" width="18" customWidth="1"/>
    <col min="3" max="3" width="46" customWidth="1"/>
  </cols>
  <sheetData>
    <row r="1" spans="1:1" x14ac:dyDescent="0.25">
      <c r="A1" s="1" t="s">
        <v>25</v>
      </c>
    </row>
    <row r="2" spans="1:1" x14ac:dyDescent="0.25">
      <c r="A2" s="2" t="s">
        <v>26</v>
      </c>
    </row>
    <row r="4" spans="1:3" x14ac:dyDescent="0.25">
      <c r="A4" s="5" t="s">
        <v>27</v>
      </c>
      <c r="B4" s="6"/>
      <c r="C4" s="6"/>
    </row>
    <row r="5" spans="1:3" x14ac:dyDescent="0.25">
      <c r="A5" t="s">
        <v>28</v>
      </c>
      <c r="B5" s="7">
        <v>0.12</v>
      </c>
      <c r="C5" s="8" t="s">
        <v>29</v>
      </c>
    </row>
    <row r="6" spans="1:3" x14ac:dyDescent="0.25">
      <c r="A6" t="s">
        <v>30</v>
      </c>
      <c r="B6" s="7">
        <v>0.005</v>
      </c>
      <c r="C6" s="8" t="s">
        <v>31</v>
      </c>
    </row>
    <row r="7" spans="1:2" x14ac:dyDescent="0.25">
      <c r="A7" t="s">
        <v>32</v>
      </c>
      <c r="B7" s="9">
        <v>75</v>
      </c>
    </row>
    <row r="8" spans="1:2" x14ac:dyDescent="0.25">
      <c r="A8" t="s">
        <v>33</v>
      </c>
      <c r="B8" s="7">
        <v>0.005</v>
      </c>
    </row>
    <row r="9" spans="1:3" x14ac:dyDescent="0.25">
      <c r="A9" t="s">
        <v>34</v>
      </c>
      <c r="B9" s="9">
        <v>15000</v>
      </c>
      <c r="C9" s="8" t="s">
        <v>35</v>
      </c>
    </row>
    <row r="10" spans="1:3" x14ac:dyDescent="0.25">
      <c r="A10" t="s">
        <v>36</v>
      </c>
      <c r="B10" s="10" t="s">
        <v>37</v>
      </c>
      <c r="C10" s="8" t="s">
        <v>38</v>
      </c>
    </row>
    <row r="12" spans="1:3" x14ac:dyDescent="0.25">
      <c r="A12" s="5" t="s">
        <v>39</v>
      </c>
      <c r="B12" s="6"/>
      <c r="C12" s="6"/>
    </row>
    <row r="13" spans="1:3" x14ac:dyDescent="0.25">
      <c r="A13" t="s">
        <v>40</v>
      </c>
      <c r="B13" s="7">
        <v>0.0325</v>
      </c>
      <c r="C13" s="8" t="s">
        <v>41</v>
      </c>
    </row>
    <row r="14" spans="1:2" x14ac:dyDescent="0.25">
      <c r="A14" t="s">
        <v>42</v>
      </c>
      <c r="B14" s="9">
        <v>21000</v>
      </c>
    </row>
    <row r="16" spans="1:3" x14ac:dyDescent="0.25">
      <c r="A16" s="5" t="s">
        <v>43</v>
      </c>
      <c r="B16" s="6"/>
      <c r="C16" s="6"/>
    </row>
    <row r="17" spans="1:3" x14ac:dyDescent="0.25">
      <c r="A17" t="s">
        <v>44</v>
      </c>
      <c r="B17" s="7">
        <v>0.0481</v>
      </c>
      <c r="C17" s="8" t="s">
        <v>45</v>
      </c>
    </row>
    <row r="18" spans="1:3" x14ac:dyDescent="0.25">
      <c r="A18" t="s">
        <v>46</v>
      </c>
      <c r="B18" s="7">
        <v>0.5</v>
      </c>
      <c r="C18" s="8" t="s">
        <v>47</v>
      </c>
    </row>
    <row r="20" spans="1:1" x14ac:dyDescent="0.25">
      <c r="A20" s="4" t="s">
        <v>4</v>
      </c>
    </row>
    <row r="21" spans="1:1" x14ac:dyDescent="0.25">
      <c r="A21" s="4" t="s">
        <v>48</v>
      </c>
    </row>
    <row r="22" spans="1:1" x14ac:dyDescent="0.25">
      <c r="A22" s="4" t="s">
        <v>49</v>
      </c>
    </row>
    <row r="23" spans="1:1" x14ac:dyDescent="0.25">
      <c r="A23" s="4" t="s">
        <v>50</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N42"/>
  <sheetViews>
    <sheetView workbookViewId="0" showGridLines="0"/>
  </sheetViews>
  <sheetFormatPr defaultRowHeight="15" outlineLevelRow="0" outlineLevelCol="0" x14ac:dyDescent="55"/>
  <cols>
    <col min="1" max="1" width="22" customWidth="1"/>
    <col min="2" max="2" width="15" customWidth="1"/>
    <col min="3" max="3" width="12" customWidth="1"/>
    <col min="4" max="4" width="16" customWidth="1"/>
    <col min="5" max="6" width="14" customWidth="1"/>
    <col min="7" max="7" width="13" customWidth="1"/>
    <col min="8" max="10" width="11" customWidth="1"/>
    <col min="11" max="12" width="13" customWidth="1"/>
    <col min="13" max="13" width="16" customWidth="1"/>
    <col min="14" max="14" width="15" customWidth="1"/>
  </cols>
  <sheetData>
    <row r="1" spans="1:1" x14ac:dyDescent="0.25">
      <c r="A1" s="1" t="s">
        <v>51</v>
      </c>
    </row>
    <row r="2" spans="1:1" x14ac:dyDescent="0.25">
      <c r="A2" s="2" t="s">
        <v>52</v>
      </c>
    </row>
    <row r="4" ht="32" customHeight="1" spans="1:14" x14ac:dyDescent="0.25">
      <c r="A4" s="11" t="s">
        <v>53</v>
      </c>
      <c r="B4" s="11" t="s">
        <v>54</v>
      </c>
      <c r="C4" s="11" t="s">
        <v>55</v>
      </c>
      <c r="D4" s="11" t="s">
        <v>56</v>
      </c>
      <c r="E4" s="11" t="s">
        <v>57</v>
      </c>
      <c r="F4" s="11" t="s">
        <v>58</v>
      </c>
      <c r="G4" s="11" t="s">
        <v>59</v>
      </c>
      <c r="H4" s="11" t="s">
        <v>60</v>
      </c>
      <c r="I4" s="11" t="s">
        <v>61</v>
      </c>
      <c r="J4" s="11" t="s">
        <v>62</v>
      </c>
      <c r="K4" s="11" t="s">
        <v>63</v>
      </c>
      <c r="L4" s="11" t="s">
        <v>39</v>
      </c>
      <c r="M4" s="11" t="s">
        <v>64</v>
      </c>
      <c r="N4" s="11" t="s">
        <v>65</v>
      </c>
    </row>
    <row r="5" spans="1:14" x14ac:dyDescent="0.25">
      <c r="A5" s="10" t="s">
        <v>66</v>
      </c>
      <c r="B5" s="10" t="s">
        <v>67</v>
      </c>
      <c r="C5" s="12">
        <v>1</v>
      </c>
      <c r="D5" s="9">
        <v>2400000</v>
      </c>
      <c r="E5" s="9">
        <v>6000</v>
      </c>
      <c r="F5" s="9">
        <v>180000</v>
      </c>
      <c r="G5" s="13">
        <f>IF(D5="",0,D5/12)</f>
      </c>
      <c r="H5" s="13">
        <f>G5*Rates!$B$18</f>
      </c>
      <c r="I5" s="13">
        <f>IF(Rates!$B$10="Yes",MIN(H5,Rates!$B$9),H5)*Rates!$B$5</f>
      </c>
      <c r="J5" s="13">
        <f>MIN(IF(Rates!$B$10="Yes",MIN(H5,Rates!$B$9),H5)*Rates!$B$6,IF(G5=0,0,Rates!$B$7))</f>
      </c>
      <c r="K5" s="13">
        <f>IF(Rates!$B$10="Yes",MIN(H5,Rates!$B$9),H5)*Rates!$B$8</f>
      </c>
      <c r="L5" s="13">
        <f>IF(AND(G5&gt;0,G5&lt;=Rates!$B$14),G5*Rates!$B$13,0)</f>
      </c>
      <c r="M5" s="13">
        <f>H5*Rates!$B$17</f>
      </c>
      <c r="N5" s="13">
        <f>IF(D5="",0,G5+I5+J5+K5+L5+M5+N(E5))</f>
      </c>
    </row>
    <row r="6" spans="1:14" x14ac:dyDescent="0.25">
      <c r="A6" s="10" t="s">
        <v>68</v>
      </c>
      <c r="B6" s="10" t="s">
        <v>67</v>
      </c>
      <c r="C6" s="12">
        <v>2</v>
      </c>
      <c r="D6" s="9">
        <v>1400000</v>
      </c>
      <c r="E6" s="9">
        <v>6000</v>
      </c>
      <c r="F6" s="9">
        <v>90000</v>
      </c>
      <c r="G6" s="13">
        <f>IF(D6="",0,D6/12)</f>
      </c>
      <c r="H6" s="13">
        <f>G6*Rates!$B$18</f>
      </c>
      <c r="I6" s="13">
        <f>IF(Rates!$B$10="Yes",MIN(H6,Rates!$B$9),H6)*Rates!$B$5</f>
      </c>
      <c r="J6" s="13">
        <f>MIN(IF(Rates!$B$10="Yes",MIN(H6,Rates!$B$9),H6)*Rates!$B$6,IF(G6=0,0,Rates!$B$7))</f>
      </c>
      <c r="K6" s="13">
        <f>IF(Rates!$B$10="Yes",MIN(H6,Rates!$B$9),H6)*Rates!$B$8</f>
      </c>
      <c r="L6" s="13">
        <f>IF(AND(G6&gt;0,G6&lt;=Rates!$B$14),G6*Rates!$B$13,0)</f>
      </c>
      <c r="M6" s="13">
        <f>H6*Rates!$B$17</f>
      </c>
      <c r="N6" s="13">
        <f>IF(D6="",0,G6+I6+J6+K6+L6+M6+N(E6))</f>
      </c>
    </row>
    <row r="7" spans="1:14" x14ac:dyDescent="0.25">
      <c r="A7" s="10" t="s">
        <v>69</v>
      </c>
      <c r="B7" s="10" t="s">
        <v>70</v>
      </c>
      <c r="C7" s="12">
        <v>2</v>
      </c>
      <c r="D7" s="9">
        <v>1800000</v>
      </c>
      <c r="E7" s="9">
        <v>5000</v>
      </c>
      <c r="F7" s="9">
        <v>140000</v>
      </c>
      <c r="G7" s="13">
        <f>IF(D7="",0,D7/12)</f>
      </c>
      <c r="H7" s="13">
        <f>G7*Rates!$B$18</f>
      </c>
      <c r="I7" s="13">
        <f>IF(Rates!$B$10="Yes",MIN(H7,Rates!$B$9),H7)*Rates!$B$5</f>
      </c>
      <c r="J7" s="13">
        <f>MIN(IF(Rates!$B$10="Yes",MIN(H7,Rates!$B$9),H7)*Rates!$B$6,IF(G7=0,0,Rates!$B$7))</f>
      </c>
      <c r="K7" s="13">
        <f>IF(Rates!$B$10="Yes",MIN(H7,Rates!$B$9),H7)*Rates!$B$8</f>
      </c>
      <c r="L7" s="13">
        <f>IF(AND(G7&gt;0,G7&lt;=Rates!$B$14),G7*Rates!$B$13,0)</f>
      </c>
      <c r="M7" s="13">
        <f>H7*Rates!$B$17</f>
      </c>
      <c r="N7" s="13">
        <f>IF(D7="",0,G7+I7+J7+K7+L7+M7+N(E7))</f>
      </c>
    </row>
    <row r="8" spans="1:14" x14ac:dyDescent="0.25">
      <c r="A8" s="10" t="s">
        <v>71</v>
      </c>
      <c r="B8" s="10" t="s">
        <v>72</v>
      </c>
      <c r="C8" s="12">
        <v>4</v>
      </c>
      <c r="D8" s="9">
        <v>1000000</v>
      </c>
      <c r="E8" s="9">
        <v>5000</v>
      </c>
      <c r="F8" s="9">
        <v>60000</v>
      </c>
      <c r="G8" s="13">
        <f>IF(D8="",0,D8/12)</f>
      </c>
      <c r="H8" s="13">
        <f>G8*Rates!$B$18</f>
      </c>
      <c r="I8" s="13">
        <f>IF(Rates!$B$10="Yes",MIN(H8,Rates!$B$9),H8)*Rates!$B$5</f>
      </c>
      <c r="J8" s="13">
        <f>MIN(IF(Rates!$B$10="Yes",MIN(H8,Rates!$B$9),H8)*Rates!$B$6,IF(G8=0,0,Rates!$B$7))</f>
      </c>
      <c r="K8" s="13">
        <f>IF(Rates!$B$10="Yes",MIN(H8,Rates!$B$9),H8)*Rates!$B$8</f>
      </c>
      <c r="L8" s="13">
        <f>IF(AND(G8&gt;0,G8&lt;=Rates!$B$14),G8*Rates!$B$13,0)</f>
      </c>
      <c r="M8" s="13">
        <f>H8*Rates!$B$17</f>
      </c>
      <c r="N8" s="13">
        <f>IF(D8="",0,G8+I8+J8+K8+L8+M8+N(E8))</f>
      </c>
    </row>
    <row r="9" spans="1:14" x14ac:dyDescent="0.25">
      <c r="A9" s="10" t="s">
        <v>68</v>
      </c>
      <c r="B9" s="10" t="s">
        <v>67</v>
      </c>
      <c r="C9" s="12">
        <v>5</v>
      </c>
      <c r="D9" s="9">
        <v>1400000</v>
      </c>
      <c r="E9" s="9">
        <v>6000</v>
      </c>
      <c r="F9" s="9">
        <v>90000</v>
      </c>
      <c r="G9" s="13">
        <f>IF(D9="",0,D9/12)</f>
      </c>
      <c r="H9" s="13">
        <f>G9*Rates!$B$18</f>
      </c>
      <c r="I9" s="13">
        <f>IF(Rates!$B$10="Yes",MIN(H9,Rates!$B$9),H9)*Rates!$B$5</f>
      </c>
      <c r="J9" s="13">
        <f>MIN(IF(Rates!$B$10="Yes",MIN(H9,Rates!$B$9),H9)*Rates!$B$6,IF(G9=0,0,Rates!$B$7))</f>
      </c>
      <c r="K9" s="13">
        <f>IF(Rates!$B$10="Yes",MIN(H9,Rates!$B$9),H9)*Rates!$B$8</f>
      </c>
      <c r="L9" s="13">
        <f>IF(AND(G9&gt;0,G9&lt;=Rates!$B$14),G9*Rates!$B$13,0)</f>
      </c>
      <c r="M9" s="13">
        <f>H9*Rates!$B$17</f>
      </c>
      <c r="N9" s="13">
        <f>IF(D9="",0,G9+I9+J9+K9+L9+M9+N(E9))</f>
      </c>
    </row>
    <row r="10" spans="1:14" x14ac:dyDescent="0.25">
      <c r="A10" s="10" t="s">
        <v>73</v>
      </c>
      <c r="B10" s="10" t="s">
        <v>74</v>
      </c>
      <c r="C10" s="12">
        <v>6</v>
      </c>
      <c r="D10" s="9">
        <v>2200000</v>
      </c>
      <c r="E10" s="9">
        <v>6000</v>
      </c>
      <c r="F10" s="9">
        <v>170000</v>
      </c>
      <c r="G10" s="13">
        <f>IF(D10="",0,D10/12)</f>
      </c>
      <c r="H10" s="13">
        <f>G10*Rates!$B$18</f>
      </c>
      <c r="I10" s="13">
        <f>IF(Rates!$B$10="Yes",MIN(H10,Rates!$B$9),H10)*Rates!$B$5</f>
      </c>
      <c r="J10" s="13">
        <f>MIN(IF(Rates!$B$10="Yes",MIN(H10,Rates!$B$9),H10)*Rates!$B$6,IF(G10=0,0,Rates!$B$7))</f>
      </c>
      <c r="K10" s="13">
        <f>IF(Rates!$B$10="Yes",MIN(H10,Rates!$B$9),H10)*Rates!$B$8</f>
      </c>
      <c r="L10" s="13">
        <f>IF(AND(G10&gt;0,G10&lt;=Rates!$B$14),G10*Rates!$B$13,0)</f>
      </c>
      <c r="M10" s="13">
        <f>H10*Rates!$B$17</f>
      </c>
      <c r="N10" s="13">
        <f>IF(D10="",0,G10+I10+J10+K10+L10+M10+N(E10))</f>
      </c>
    </row>
    <row r="11" spans="1:14" x14ac:dyDescent="0.25">
      <c r="A11" s="10" t="s">
        <v>69</v>
      </c>
      <c r="B11" s="10" t="s">
        <v>70</v>
      </c>
      <c r="C11" s="12">
        <v>7</v>
      </c>
      <c r="D11" s="9">
        <v>1800000</v>
      </c>
      <c r="E11" s="9">
        <v>5000</v>
      </c>
      <c r="F11" s="9">
        <v>140000</v>
      </c>
      <c r="G11" s="13">
        <f>IF(D11="",0,D11/12)</f>
      </c>
      <c r="H11" s="13">
        <f>G11*Rates!$B$18</f>
      </c>
      <c r="I11" s="13">
        <f>IF(Rates!$B$10="Yes",MIN(H11,Rates!$B$9),H11)*Rates!$B$5</f>
      </c>
      <c r="J11" s="13">
        <f>MIN(IF(Rates!$B$10="Yes",MIN(H11,Rates!$B$9),H11)*Rates!$B$6,IF(G11=0,0,Rates!$B$7))</f>
      </c>
      <c r="K11" s="13">
        <f>IF(Rates!$B$10="Yes",MIN(H11,Rates!$B$9),H11)*Rates!$B$8</f>
      </c>
      <c r="L11" s="13">
        <f>IF(AND(G11&gt;0,G11&lt;=Rates!$B$14),G11*Rates!$B$13,0)</f>
      </c>
      <c r="M11" s="13">
        <f>H11*Rates!$B$17</f>
      </c>
      <c r="N11" s="13">
        <f>IF(D11="",0,G11+I11+J11+K11+L11+M11+N(E11))</f>
      </c>
    </row>
    <row r="12" spans="1:14" x14ac:dyDescent="0.25">
      <c r="A12" s="10" t="s">
        <v>75</v>
      </c>
      <c r="B12" s="10" t="s">
        <v>76</v>
      </c>
      <c r="C12" s="12">
        <v>7</v>
      </c>
      <c r="D12" s="9">
        <v>1600000</v>
      </c>
      <c r="E12" s="9">
        <v>5000</v>
      </c>
      <c r="F12" s="9">
        <v>120000</v>
      </c>
      <c r="G12" s="13">
        <f>IF(D12="",0,D12/12)</f>
      </c>
      <c r="H12" s="13">
        <f>G12*Rates!$B$18</f>
      </c>
      <c r="I12" s="13">
        <f>IF(Rates!$B$10="Yes",MIN(H12,Rates!$B$9),H12)*Rates!$B$5</f>
      </c>
      <c r="J12" s="13">
        <f>MIN(IF(Rates!$B$10="Yes",MIN(H12,Rates!$B$9),H12)*Rates!$B$6,IF(G12=0,0,Rates!$B$7))</f>
      </c>
      <c r="K12" s="13">
        <f>IF(Rates!$B$10="Yes",MIN(H12,Rates!$B$9),H12)*Rates!$B$8</f>
      </c>
      <c r="L12" s="13">
        <f>IF(AND(G12&gt;0,G12&lt;=Rates!$B$14),G12*Rates!$B$13,0)</f>
      </c>
      <c r="M12" s="13">
        <f>H12*Rates!$B$17</f>
      </c>
      <c r="N12" s="13">
        <f>IF(D12="",0,G12+I12+J12+K12+L12+M12+N(E12))</f>
      </c>
    </row>
    <row r="13" spans="1:14" x14ac:dyDescent="0.25">
      <c r="A13" s="10" t="s">
        <v>77</v>
      </c>
      <c r="B13" s="10" t="s">
        <v>74</v>
      </c>
      <c r="C13" s="12">
        <v>9</v>
      </c>
      <c r="D13" s="9">
        <v>1300000</v>
      </c>
      <c r="E13" s="9">
        <v>6000</v>
      </c>
      <c r="F13" s="9">
        <v>80000</v>
      </c>
      <c r="G13" s="13">
        <f>IF(D13="",0,D13/12)</f>
      </c>
      <c r="H13" s="13">
        <f>G13*Rates!$B$18</f>
      </c>
      <c r="I13" s="13">
        <f>IF(Rates!$B$10="Yes",MIN(H13,Rates!$B$9),H13)*Rates!$B$5</f>
      </c>
      <c r="J13" s="13">
        <f>MIN(IF(Rates!$B$10="Yes",MIN(H13,Rates!$B$9),H13)*Rates!$B$6,IF(G13=0,0,Rates!$B$7))</f>
      </c>
      <c r="K13" s="13">
        <f>IF(Rates!$B$10="Yes",MIN(H13,Rates!$B$9),H13)*Rates!$B$8</f>
      </c>
      <c r="L13" s="13">
        <f>IF(AND(G13&gt;0,G13&lt;=Rates!$B$14),G13*Rates!$B$13,0)</f>
      </c>
      <c r="M13" s="13">
        <f>H13*Rates!$B$17</f>
      </c>
      <c r="N13" s="13">
        <f>IF(D13="",0,G13+I13+J13+K13+L13+M13+N(E13))</f>
      </c>
    </row>
    <row r="14" spans="1:14" x14ac:dyDescent="0.25">
      <c r="A14" s="10" t="s">
        <v>78</v>
      </c>
      <c r="B14" s="10" t="s">
        <v>70</v>
      </c>
      <c r="C14" s="12">
        <v>9</v>
      </c>
      <c r="D14" s="9">
        <v>700000</v>
      </c>
      <c r="E14" s="9">
        <v>4000</v>
      </c>
      <c r="F14" s="9">
        <v>40000</v>
      </c>
      <c r="G14" s="13">
        <f>IF(D14="",0,D14/12)</f>
      </c>
      <c r="H14" s="13">
        <f>G14*Rates!$B$18</f>
      </c>
      <c r="I14" s="13">
        <f>IF(Rates!$B$10="Yes",MIN(H14,Rates!$B$9),H14)*Rates!$B$5</f>
      </c>
      <c r="J14" s="13">
        <f>MIN(IF(Rates!$B$10="Yes",MIN(H14,Rates!$B$9),H14)*Rates!$B$6,IF(G14=0,0,Rates!$B$7))</f>
      </c>
      <c r="K14" s="13">
        <f>IF(Rates!$B$10="Yes",MIN(H14,Rates!$B$9),H14)*Rates!$B$8</f>
      </c>
      <c r="L14" s="13">
        <f>IF(AND(G14&gt;0,G14&lt;=Rates!$B$14),G14*Rates!$B$13,0)</f>
      </c>
      <c r="M14" s="13">
        <f>H14*Rates!$B$17</f>
      </c>
      <c r="N14" s="13">
        <f>IF(D14="",0,G14+I14+J14+K14+L14+M14+N(E14))</f>
      </c>
    </row>
    <row r="15" spans="1:14" x14ac:dyDescent="0.25">
      <c r="A15" s="10" t="s">
        <v>68</v>
      </c>
      <c r="B15" s="10" t="s">
        <v>67</v>
      </c>
      <c r="C15" s="12">
        <v>10</v>
      </c>
      <c r="D15" s="9">
        <v>1400000</v>
      </c>
      <c r="E15" s="9">
        <v>6000</v>
      </c>
      <c r="F15" s="9">
        <v>90000</v>
      </c>
      <c r="G15" s="13">
        <f>IF(D15="",0,D15/12)</f>
      </c>
      <c r="H15" s="13">
        <f>G15*Rates!$B$18</f>
      </c>
      <c r="I15" s="13">
        <f>IF(Rates!$B$10="Yes",MIN(H15,Rates!$B$9),H15)*Rates!$B$5</f>
      </c>
      <c r="J15" s="13">
        <f>MIN(IF(Rates!$B$10="Yes",MIN(H15,Rates!$B$9),H15)*Rates!$B$6,IF(G15=0,0,Rates!$B$7))</f>
      </c>
      <c r="K15" s="13">
        <f>IF(Rates!$B$10="Yes",MIN(H15,Rates!$B$9),H15)*Rates!$B$8</f>
      </c>
      <c r="L15" s="13">
        <f>IF(AND(G15&gt;0,G15&lt;=Rates!$B$14),G15*Rates!$B$13,0)</f>
      </c>
      <c r="M15" s="13">
        <f>H15*Rates!$B$17</f>
      </c>
      <c r="N15" s="13">
        <f>IF(D15="",0,G15+I15+J15+K15+L15+M15+N(E15))</f>
      </c>
    </row>
    <row r="16" spans="1:14" x14ac:dyDescent="0.25">
      <c r="A16" s="10" t="s">
        <v>79</v>
      </c>
      <c r="B16" s="10" t="s">
        <v>80</v>
      </c>
      <c r="C16" s="12">
        <v>11</v>
      </c>
      <c r="D16" s="9">
        <v>240000</v>
      </c>
      <c r="E16" s="9">
        <v>2000</v>
      </c>
      <c r="F16" s="9">
        <v>10000</v>
      </c>
      <c r="G16" s="13">
        <f>IF(D16="",0,D16/12)</f>
      </c>
      <c r="H16" s="13">
        <f>G16*Rates!$B$18</f>
      </c>
      <c r="I16" s="13">
        <f>IF(Rates!$B$10="Yes",MIN(H16,Rates!$B$9),H16)*Rates!$B$5</f>
      </c>
      <c r="J16" s="13">
        <f>MIN(IF(Rates!$B$10="Yes",MIN(H16,Rates!$B$9),H16)*Rates!$B$6,IF(G16=0,0,Rates!$B$7))</f>
      </c>
      <c r="K16" s="13">
        <f>IF(Rates!$B$10="Yes",MIN(H16,Rates!$B$9),H16)*Rates!$B$8</f>
      </c>
      <c r="L16" s="13">
        <f>IF(AND(G16&gt;0,G16&lt;=Rates!$B$14),G16*Rates!$B$13,0)</f>
      </c>
      <c r="M16" s="13">
        <f>H16*Rates!$B$17</f>
      </c>
      <c r="N16" s="13">
        <f>IF(D16="",0,G16+I16+J16+K16+L16+M16+N(E16))</f>
      </c>
    </row>
    <row r="17" spans="1:14" x14ac:dyDescent="0.25">
      <c r="A17" s="10"/>
      <c r="B17" s="10"/>
      <c r="C17" s="12"/>
      <c r="D17" s="9"/>
      <c r="E17" s="9"/>
      <c r="F17" s="9"/>
      <c r="G17" s="13">
        <f>IF(D17="",0,D17/12)</f>
      </c>
      <c r="H17" s="13">
        <f>G17*Rates!$B$18</f>
      </c>
      <c r="I17" s="13">
        <f>IF(Rates!$B$10="Yes",MIN(H17,Rates!$B$9),H17)*Rates!$B$5</f>
      </c>
      <c r="J17" s="13">
        <f>MIN(IF(Rates!$B$10="Yes",MIN(H17,Rates!$B$9),H17)*Rates!$B$6,IF(G17=0,0,Rates!$B$7))</f>
      </c>
      <c r="K17" s="13">
        <f>IF(Rates!$B$10="Yes",MIN(H17,Rates!$B$9),H17)*Rates!$B$8</f>
      </c>
      <c r="L17" s="13">
        <f>IF(AND(G17&gt;0,G17&lt;=Rates!$B$14),G17*Rates!$B$13,0)</f>
      </c>
      <c r="M17" s="13">
        <f>H17*Rates!$B$17</f>
      </c>
      <c r="N17" s="13">
        <f>IF(D17="",0,G17+I17+J17+K17+L17+M17+N(E17))</f>
      </c>
    </row>
    <row r="18" spans="1:14" x14ac:dyDescent="0.25">
      <c r="A18" s="10"/>
      <c r="B18" s="10"/>
      <c r="C18" s="12"/>
      <c r="D18" s="9"/>
      <c r="E18" s="9"/>
      <c r="F18" s="9"/>
      <c r="G18" s="13">
        <f>IF(D18="",0,D18/12)</f>
      </c>
      <c r="H18" s="13">
        <f>G18*Rates!$B$18</f>
      </c>
      <c r="I18" s="13">
        <f>IF(Rates!$B$10="Yes",MIN(H18,Rates!$B$9),H18)*Rates!$B$5</f>
      </c>
      <c r="J18" s="13">
        <f>MIN(IF(Rates!$B$10="Yes",MIN(H18,Rates!$B$9),H18)*Rates!$B$6,IF(G18=0,0,Rates!$B$7))</f>
      </c>
      <c r="K18" s="13">
        <f>IF(Rates!$B$10="Yes",MIN(H18,Rates!$B$9),H18)*Rates!$B$8</f>
      </c>
      <c r="L18" s="13">
        <f>IF(AND(G18&gt;0,G18&lt;=Rates!$B$14),G18*Rates!$B$13,0)</f>
      </c>
      <c r="M18" s="13">
        <f>H18*Rates!$B$17</f>
      </c>
      <c r="N18" s="13">
        <f>IF(D18="",0,G18+I18+J18+K18+L18+M18+N(E18))</f>
      </c>
    </row>
    <row r="19" spans="1:14" x14ac:dyDescent="0.25">
      <c r="A19" s="10"/>
      <c r="B19" s="10"/>
      <c r="C19" s="12"/>
      <c r="D19" s="9"/>
      <c r="E19" s="9"/>
      <c r="F19" s="9"/>
      <c r="G19" s="13">
        <f>IF(D19="",0,D19/12)</f>
      </c>
      <c r="H19" s="13">
        <f>G19*Rates!$B$18</f>
      </c>
      <c r="I19" s="13">
        <f>IF(Rates!$B$10="Yes",MIN(H19,Rates!$B$9),H19)*Rates!$B$5</f>
      </c>
      <c r="J19" s="13">
        <f>MIN(IF(Rates!$B$10="Yes",MIN(H19,Rates!$B$9),H19)*Rates!$B$6,IF(G19=0,0,Rates!$B$7))</f>
      </c>
      <c r="K19" s="13">
        <f>IF(Rates!$B$10="Yes",MIN(H19,Rates!$B$9),H19)*Rates!$B$8</f>
      </c>
      <c r="L19" s="13">
        <f>IF(AND(G19&gt;0,G19&lt;=Rates!$B$14),G19*Rates!$B$13,0)</f>
      </c>
      <c r="M19" s="13">
        <f>H19*Rates!$B$17</f>
      </c>
      <c r="N19" s="13">
        <f>IF(D19="",0,G19+I19+J19+K19+L19+M19+N(E19))</f>
      </c>
    </row>
    <row r="20" spans="1:14" x14ac:dyDescent="0.25">
      <c r="A20" s="10"/>
      <c r="B20" s="10"/>
      <c r="C20" s="12"/>
      <c r="D20" s="9"/>
      <c r="E20" s="9"/>
      <c r="F20" s="9"/>
      <c r="G20" s="13">
        <f>IF(D20="",0,D20/12)</f>
      </c>
      <c r="H20" s="13">
        <f>G20*Rates!$B$18</f>
      </c>
      <c r="I20" s="13">
        <f>IF(Rates!$B$10="Yes",MIN(H20,Rates!$B$9),H20)*Rates!$B$5</f>
      </c>
      <c r="J20" s="13">
        <f>MIN(IF(Rates!$B$10="Yes",MIN(H20,Rates!$B$9),H20)*Rates!$B$6,IF(G20=0,0,Rates!$B$7))</f>
      </c>
      <c r="K20" s="13">
        <f>IF(Rates!$B$10="Yes",MIN(H20,Rates!$B$9),H20)*Rates!$B$8</f>
      </c>
      <c r="L20" s="13">
        <f>IF(AND(G20&gt;0,G20&lt;=Rates!$B$14),G20*Rates!$B$13,0)</f>
      </c>
      <c r="M20" s="13">
        <f>H20*Rates!$B$17</f>
      </c>
      <c r="N20" s="13">
        <f>IF(D20="",0,G20+I20+J20+K20+L20+M20+N(E20))</f>
      </c>
    </row>
    <row r="21" spans="1:14" x14ac:dyDescent="0.25">
      <c r="A21" s="10"/>
      <c r="B21" s="10"/>
      <c r="C21" s="12"/>
      <c r="D21" s="9"/>
      <c r="E21" s="9"/>
      <c r="F21" s="9"/>
      <c r="G21" s="13">
        <f>IF(D21="",0,D21/12)</f>
      </c>
      <c r="H21" s="13">
        <f>G21*Rates!$B$18</f>
      </c>
      <c r="I21" s="13">
        <f>IF(Rates!$B$10="Yes",MIN(H21,Rates!$B$9),H21)*Rates!$B$5</f>
      </c>
      <c r="J21" s="13">
        <f>MIN(IF(Rates!$B$10="Yes",MIN(H21,Rates!$B$9),H21)*Rates!$B$6,IF(G21=0,0,Rates!$B$7))</f>
      </c>
      <c r="K21" s="13">
        <f>IF(Rates!$B$10="Yes",MIN(H21,Rates!$B$9),H21)*Rates!$B$8</f>
      </c>
      <c r="L21" s="13">
        <f>IF(AND(G21&gt;0,G21&lt;=Rates!$B$14),G21*Rates!$B$13,0)</f>
      </c>
      <c r="M21" s="13">
        <f>H21*Rates!$B$17</f>
      </c>
      <c r="N21" s="13">
        <f>IF(D21="",0,G21+I21+J21+K21+L21+M21+N(E21))</f>
      </c>
    </row>
    <row r="22" spans="1:14" x14ac:dyDescent="0.25">
      <c r="A22" s="10"/>
      <c r="B22" s="10"/>
      <c r="C22" s="12"/>
      <c r="D22" s="9"/>
      <c r="E22" s="9"/>
      <c r="F22" s="9"/>
      <c r="G22" s="13">
        <f>IF(D22="",0,D22/12)</f>
      </c>
      <c r="H22" s="13">
        <f>G22*Rates!$B$18</f>
      </c>
      <c r="I22" s="13">
        <f>IF(Rates!$B$10="Yes",MIN(H22,Rates!$B$9),H22)*Rates!$B$5</f>
      </c>
      <c r="J22" s="13">
        <f>MIN(IF(Rates!$B$10="Yes",MIN(H22,Rates!$B$9),H22)*Rates!$B$6,IF(G22=0,0,Rates!$B$7))</f>
      </c>
      <c r="K22" s="13">
        <f>IF(Rates!$B$10="Yes",MIN(H22,Rates!$B$9),H22)*Rates!$B$8</f>
      </c>
      <c r="L22" s="13">
        <f>IF(AND(G22&gt;0,G22&lt;=Rates!$B$14),G22*Rates!$B$13,0)</f>
      </c>
      <c r="M22" s="13">
        <f>H22*Rates!$B$17</f>
      </c>
      <c r="N22" s="13">
        <f>IF(D22="",0,G22+I22+J22+K22+L22+M22+N(E22))</f>
      </c>
    </row>
    <row r="23" spans="1:14" x14ac:dyDescent="0.25">
      <c r="A23" s="10"/>
      <c r="B23" s="10"/>
      <c r="C23" s="12"/>
      <c r="D23" s="9"/>
      <c r="E23" s="9"/>
      <c r="F23" s="9"/>
      <c r="G23" s="13">
        <f>IF(D23="",0,D23/12)</f>
      </c>
      <c r="H23" s="13">
        <f>G23*Rates!$B$18</f>
      </c>
      <c r="I23" s="13">
        <f>IF(Rates!$B$10="Yes",MIN(H23,Rates!$B$9),H23)*Rates!$B$5</f>
      </c>
      <c r="J23" s="13">
        <f>MIN(IF(Rates!$B$10="Yes",MIN(H23,Rates!$B$9),H23)*Rates!$B$6,IF(G23=0,0,Rates!$B$7))</f>
      </c>
      <c r="K23" s="13">
        <f>IF(Rates!$B$10="Yes",MIN(H23,Rates!$B$9),H23)*Rates!$B$8</f>
      </c>
      <c r="L23" s="13">
        <f>IF(AND(G23&gt;0,G23&lt;=Rates!$B$14),G23*Rates!$B$13,0)</f>
      </c>
      <c r="M23" s="13">
        <f>H23*Rates!$B$17</f>
      </c>
      <c r="N23" s="13">
        <f>IF(D23="",0,G23+I23+J23+K23+L23+M23+N(E23))</f>
      </c>
    </row>
    <row r="24" spans="1:14" x14ac:dyDescent="0.25">
      <c r="A24" s="10"/>
      <c r="B24" s="10"/>
      <c r="C24" s="12"/>
      <c r="D24" s="9"/>
      <c r="E24" s="9"/>
      <c r="F24" s="9"/>
      <c r="G24" s="13">
        <f>IF(D24="",0,D24/12)</f>
      </c>
      <c r="H24" s="13">
        <f>G24*Rates!$B$18</f>
      </c>
      <c r="I24" s="13">
        <f>IF(Rates!$B$10="Yes",MIN(H24,Rates!$B$9),H24)*Rates!$B$5</f>
      </c>
      <c r="J24" s="13">
        <f>MIN(IF(Rates!$B$10="Yes",MIN(H24,Rates!$B$9),H24)*Rates!$B$6,IF(G24=0,0,Rates!$B$7))</f>
      </c>
      <c r="K24" s="13">
        <f>IF(Rates!$B$10="Yes",MIN(H24,Rates!$B$9),H24)*Rates!$B$8</f>
      </c>
      <c r="L24" s="13">
        <f>IF(AND(G24&gt;0,G24&lt;=Rates!$B$14),G24*Rates!$B$13,0)</f>
      </c>
      <c r="M24" s="13">
        <f>H24*Rates!$B$17</f>
      </c>
      <c r="N24" s="13">
        <f>IF(D24="",0,G24+I24+J24+K24+L24+M24+N(E24))</f>
      </c>
    </row>
    <row r="25" spans="1:14" x14ac:dyDescent="0.25">
      <c r="A25" s="10"/>
      <c r="B25" s="10"/>
      <c r="C25" s="12"/>
      <c r="D25" s="9"/>
      <c r="E25" s="9"/>
      <c r="F25" s="9"/>
      <c r="G25" s="13">
        <f>IF(D25="",0,D25/12)</f>
      </c>
      <c r="H25" s="13">
        <f>G25*Rates!$B$18</f>
      </c>
      <c r="I25" s="13">
        <f>IF(Rates!$B$10="Yes",MIN(H25,Rates!$B$9),H25)*Rates!$B$5</f>
      </c>
      <c r="J25" s="13">
        <f>MIN(IF(Rates!$B$10="Yes",MIN(H25,Rates!$B$9),H25)*Rates!$B$6,IF(G25=0,0,Rates!$B$7))</f>
      </c>
      <c r="K25" s="13">
        <f>IF(Rates!$B$10="Yes",MIN(H25,Rates!$B$9),H25)*Rates!$B$8</f>
      </c>
      <c r="L25" s="13">
        <f>IF(AND(G25&gt;0,G25&lt;=Rates!$B$14),G25*Rates!$B$13,0)</f>
      </c>
      <c r="M25" s="13">
        <f>H25*Rates!$B$17</f>
      </c>
      <c r="N25" s="13">
        <f>IF(D25="",0,G25+I25+J25+K25+L25+M25+N(E25))</f>
      </c>
    </row>
    <row r="26" spans="1:14" x14ac:dyDescent="0.25">
      <c r="A26" s="10"/>
      <c r="B26" s="10"/>
      <c r="C26" s="12"/>
      <c r="D26" s="9"/>
      <c r="E26" s="9"/>
      <c r="F26" s="9"/>
      <c r="G26" s="13">
        <f>IF(D26="",0,D26/12)</f>
      </c>
      <c r="H26" s="13">
        <f>G26*Rates!$B$18</f>
      </c>
      <c r="I26" s="13">
        <f>IF(Rates!$B$10="Yes",MIN(H26,Rates!$B$9),H26)*Rates!$B$5</f>
      </c>
      <c r="J26" s="13">
        <f>MIN(IF(Rates!$B$10="Yes",MIN(H26,Rates!$B$9),H26)*Rates!$B$6,IF(G26=0,0,Rates!$B$7))</f>
      </c>
      <c r="K26" s="13">
        <f>IF(Rates!$B$10="Yes",MIN(H26,Rates!$B$9),H26)*Rates!$B$8</f>
      </c>
      <c r="L26" s="13">
        <f>IF(AND(G26&gt;0,G26&lt;=Rates!$B$14),G26*Rates!$B$13,0)</f>
      </c>
      <c r="M26" s="13">
        <f>H26*Rates!$B$17</f>
      </c>
      <c r="N26" s="13">
        <f>IF(D26="",0,G26+I26+J26+K26+L26+M26+N(E26))</f>
      </c>
    </row>
    <row r="27" spans="1:14" x14ac:dyDescent="0.25">
      <c r="A27" s="10"/>
      <c r="B27" s="10"/>
      <c r="C27" s="12"/>
      <c r="D27" s="9"/>
      <c r="E27" s="9"/>
      <c r="F27" s="9"/>
      <c r="G27" s="13">
        <f>IF(D27="",0,D27/12)</f>
      </c>
      <c r="H27" s="13">
        <f>G27*Rates!$B$18</f>
      </c>
      <c r="I27" s="13">
        <f>IF(Rates!$B$10="Yes",MIN(H27,Rates!$B$9),H27)*Rates!$B$5</f>
      </c>
      <c r="J27" s="13">
        <f>MIN(IF(Rates!$B$10="Yes",MIN(H27,Rates!$B$9),H27)*Rates!$B$6,IF(G27=0,0,Rates!$B$7))</f>
      </c>
      <c r="K27" s="13">
        <f>IF(Rates!$B$10="Yes",MIN(H27,Rates!$B$9),H27)*Rates!$B$8</f>
      </c>
      <c r="L27" s="13">
        <f>IF(AND(G27&gt;0,G27&lt;=Rates!$B$14),G27*Rates!$B$13,0)</f>
      </c>
      <c r="M27" s="13">
        <f>H27*Rates!$B$17</f>
      </c>
      <c r="N27" s="13">
        <f>IF(D27="",0,G27+I27+J27+K27+L27+M27+N(E27))</f>
      </c>
    </row>
    <row r="28" spans="1:14" x14ac:dyDescent="0.25">
      <c r="A28" s="10"/>
      <c r="B28" s="10"/>
      <c r="C28" s="12"/>
      <c r="D28" s="9"/>
      <c r="E28" s="9"/>
      <c r="F28" s="9"/>
      <c r="G28" s="13">
        <f>IF(D28="",0,D28/12)</f>
      </c>
      <c r="H28" s="13">
        <f>G28*Rates!$B$18</f>
      </c>
      <c r="I28" s="13">
        <f>IF(Rates!$B$10="Yes",MIN(H28,Rates!$B$9),H28)*Rates!$B$5</f>
      </c>
      <c r="J28" s="13">
        <f>MIN(IF(Rates!$B$10="Yes",MIN(H28,Rates!$B$9),H28)*Rates!$B$6,IF(G28=0,0,Rates!$B$7))</f>
      </c>
      <c r="K28" s="13">
        <f>IF(Rates!$B$10="Yes",MIN(H28,Rates!$B$9),H28)*Rates!$B$8</f>
      </c>
      <c r="L28" s="13">
        <f>IF(AND(G28&gt;0,G28&lt;=Rates!$B$14),G28*Rates!$B$13,0)</f>
      </c>
      <c r="M28" s="13">
        <f>H28*Rates!$B$17</f>
      </c>
      <c r="N28" s="13">
        <f>IF(D28="",0,G28+I28+J28+K28+L28+M28+N(E28))</f>
      </c>
    </row>
    <row r="29" spans="1:14" x14ac:dyDescent="0.25">
      <c r="A29" s="10"/>
      <c r="B29" s="10"/>
      <c r="C29" s="12"/>
      <c r="D29" s="9"/>
      <c r="E29" s="9"/>
      <c r="F29" s="9"/>
      <c r="G29" s="13">
        <f>IF(D29="",0,D29/12)</f>
      </c>
      <c r="H29" s="13">
        <f>G29*Rates!$B$18</f>
      </c>
      <c r="I29" s="13">
        <f>IF(Rates!$B$10="Yes",MIN(H29,Rates!$B$9),H29)*Rates!$B$5</f>
      </c>
      <c r="J29" s="13">
        <f>MIN(IF(Rates!$B$10="Yes",MIN(H29,Rates!$B$9),H29)*Rates!$B$6,IF(G29=0,0,Rates!$B$7))</f>
      </c>
      <c r="K29" s="13">
        <f>IF(Rates!$B$10="Yes",MIN(H29,Rates!$B$9),H29)*Rates!$B$8</f>
      </c>
      <c r="L29" s="13">
        <f>IF(AND(G29&gt;0,G29&lt;=Rates!$B$14),G29*Rates!$B$13,0)</f>
      </c>
      <c r="M29" s="13">
        <f>H29*Rates!$B$17</f>
      </c>
      <c r="N29" s="13">
        <f>IF(D29="",0,G29+I29+J29+K29+L29+M29+N(E29))</f>
      </c>
    </row>
    <row r="30" spans="1:14" x14ac:dyDescent="0.25">
      <c r="A30" s="10"/>
      <c r="B30" s="10"/>
      <c r="C30" s="12"/>
      <c r="D30" s="9"/>
      <c r="E30" s="9"/>
      <c r="F30" s="9"/>
      <c r="G30" s="13">
        <f>IF(D30="",0,D30/12)</f>
      </c>
      <c r="H30" s="13">
        <f>G30*Rates!$B$18</f>
      </c>
      <c r="I30" s="13">
        <f>IF(Rates!$B$10="Yes",MIN(H30,Rates!$B$9),H30)*Rates!$B$5</f>
      </c>
      <c r="J30" s="13">
        <f>MIN(IF(Rates!$B$10="Yes",MIN(H30,Rates!$B$9),H30)*Rates!$B$6,IF(G30=0,0,Rates!$B$7))</f>
      </c>
      <c r="K30" s="13">
        <f>IF(Rates!$B$10="Yes",MIN(H30,Rates!$B$9),H30)*Rates!$B$8</f>
      </c>
      <c r="L30" s="13">
        <f>IF(AND(G30&gt;0,G30&lt;=Rates!$B$14),G30*Rates!$B$13,0)</f>
      </c>
      <c r="M30" s="13">
        <f>H30*Rates!$B$17</f>
      </c>
      <c r="N30" s="13">
        <f>IF(D30="",0,G30+I30+J30+K30+L30+M30+N(E30))</f>
      </c>
    </row>
    <row r="31" spans="1:14" x14ac:dyDescent="0.25">
      <c r="A31" s="10"/>
      <c r="B31" s="10"/>
      <c r="C31" s="12"/>
      <c r="D31" s="9"/>
      <c r="E31" s="9"/>
      <c r="F31" s="9"/>
      <c r="G31" s="13">
        <f>IF(D31="",0,D31/12)</f>
      </c>
      <c r="H31" s="13">
        <f>G31*Rates!$B$18</f>
      </c>
      <c r="I31" s="13">
        <f>IF(Rates!$B$10="Yes",MIN(H31,Rates!$B$9),H31)*Rates!$B$5</f>
      </c>
      <c r="J31" s="13">
        <f>MIN(IF(Rates!$B$10="Yes",MIN(H31,Rates!$B$9),H31)*Rates!$B$6,IF(G31=0,0,Rates!$B$7))</f>
      </c>
      <c r="K31" s="13">
        <f>IF(Rates!$B$10="Yes",MIN(H31,Rates!$B$9),H31)*Rates!$B$8</f>
      </c>
      <c r="L31" s="13">
        <f>IF(AND(G31&gt;0,G31&lt;=Rates!$B$14),G31*Rates!$B$13,0)</f>
      </c>
      <c r="M31" s="13">
        <f>H31*Rates!$B$17</f>
      </c>
      <c r="N31" s="13">
        <f>IF(D31="",0,G31+I31+J31+K31+L31+M31+N(E31))</f>
      </c>
    </row>
    <row r="32" spans="1:14" x14ac:dyDescent="0.25">
      <c r="A32" s="10"/>
      <c r="B32" s="10"/>
      <c r="C32" s="12"/>
      <c r="D32" s="9"/>
      <c r="E32" s="9"/>
      <c r="F32" s="9"/>
      <c r="G32" s="13">
        <f>IF(D32="",0,D32/12)</f>
      </c>
      <c r="H32" s="13">
        <f>G32*Rates!$B$18</f>
      </c>
      <c r="I32" s="13">
        <f>IF(Rates!$B$10="Yes",MIN(H32,Rates!$B$9),H32)*Rates!$B$5</f>
      </c>
      <c r="J32" s="13">
        <f>MIN(IF(Rates!$B$10="Yes",MIN(H32,Rates!$B$9),H32)*Rates!$B$6,IF(G32=0,0,Rates!$B$7))</f>
      </c>
      <c r="K32" s="13">
        <f>IF(Rates!$B$10="Yes",MIN(H32,Rates!$B$9),H32)*Rates!$B$8</f>
      </c>
      <c r="L32" s="13">
        <f>IF(AND(G32&gt;0,G32&lt;=Rates!$B$14),G32*Rates!$B$13,0)</f>
      </c>
      <c r="M32" s="13">
        <f>H32*Rates!$B$17</f>
      </c>
      <c r="N32" s="13">
        <f>IF(D32="",0,G32+I32+J32+K32+L32+M32+N(E32))</f>
      </c>
    </row>
    <row r="33" spans="1:14" x14ac:dyDescent="0.25">
      <c r="A33" s="10"/>
      <c r="B33" s="10"/>
      <c r="C33" s="12"/>
      <c r="D33" s="9"/>
      <c r="E33" s="9"/>
      <c r="F33" s="9"/>
      <c r="G33" s="13">
        <f>IF(D33="",0,D33/12)</f>
      </c>
      <c r="H33" s="13">
        <f>G33*Rates!$B$18</f>
      </c>
      <c r="I33" s="13">
        <f>IF(Rates!$B$10="Yes",MIN(H33,Rates!$B$9),H33)*Rates!$B$5</f>
      </c>
      <c r="J33" s="13">
        <f>MIN(IF(Rates!$B$10="Yes",MIN(H33,Rates!$B$9),H33)*Rates!$B$6,IF(G33=0,0,Rates!$B$7))</f>
      </c>
      <c r="K33" s="13">
        <f>IF(Rates!$B$10="Yes",MIN(H33,Rates!$B$9),H33)*Rates!$B$8</f>
      </c>
      <c r="L33" s="13">
        <f>IF(AND(G33&gt;0,G33&lt;=Rates!$B$14),G33*Rates!$B$13,0)</f>
      </c>
      <c r="M33" s="13">
        <f>H33*Rates!$B$17</f>
      </c>
      <c r="N33" s="13">
        <f>IF(D33="",0,G33+I33+J33+K33+L33+M33+N(E33))</f>
      </c>
    </row>
    <row r="34" spans="1:14" x14ac:dyDescent="0.25">
      <c r="A34" s="10"/>
      <c r="B34" s="10"/>
      <c r="C34" s="12"/>
      <c r="D34" s="9"/>
      <c r="E34" s="9"/>
      <c r="F34" s="9"/>
      <c r="G34" s="13">
        <f>IF(D34="",0,D34/12)</f>
      </c>
      <c r="H34" s="13">
        <f>G34*Rates!$B$18</f>
      </c>
      <c r="I34" s="13">
        <f>IF(Rates!$B$10="Yes",MIN(H34,Rates!$B$9),H34)*Rates!$B$5</f>
      </c>
      <c r="J34" s="13">
        <f>MIN(IF(Rates!$B$10="Yes",MIN(H34,Rates!$B$9),H34)*Rates!$B$6,IF(G34=0,0,Rates!$B$7))</f>
      </c>
      <c r="K34" s="13">
        <f>IF(Rates!$B$10="Yes",MIN(H34,Rates!$B$9),H34)*Rates!$B$8</f>
      </c>
      <c r="L34" s="13">
        <f>IF(AND(G34&gt;0,G34&lt;=Rates!$B$14),G34*Rates!$B$13,0)</f>
      </c>
      <c r="M34" s="13">
        <f>H34*Rates!$B$17</f>
      </c>
      <c r="N34" s="13">
        <f>IF(D34="",0,G34+I34+J34+K34+L34+M34+N(E34))</f>
      </c>
    </row>
    <row r="35" spans="1:14" x14ac:dyDescent="0.25">
      <c r="A35" s="14" t="s">
        <v>81</v>
      </c>
      <c r="B35" s="14">
        <f>COUNT(C5:C34)&amp;" roles"</f>
      </c>
      <c r="C35" s="14"/>
      <c r="D35" s="15">
        <f>SUM(D5:D34)</f>
      </c>
      <c r="E35" s="15">
        <f>SUM(E5:E34)</f>
      </c>
      <c r="F35" s="15">
        <f>SUM(F5:F34)</f>
      </c>
      <c r="G35" s="15">
        <f>SUM(G5:G34)</f>
      </c>
      <c r="H35" s="15">
        <f>SUM(H5:H34)</f>
      </c>
      <c r="I35" s="15">
        <f>SUM(I5:I34)</f>
      </c>
      <c r="J35" s="15">
        <f>SUM(J5:J34)</f>
      </c>
      <c r="K35" s="15">
        <f>SUM(K5:K34)</f>
      </c>
      <c r="L35" s="15">
        <f>SUM(L5:L34)</f>
      </c>
      <c r="M35" s="15">
        <f>SUM(M5:M34)</f>
      </c>
      <c r="N35" s="15">
        <f>SUM(N5:N34)</f>
      </c>
    </row>
    <row r="37" spans="1:3" x14ac:dyDescent="0.25">
      <c r="A37" s="16" t="s">
        <v>82</v>
      </c>
      <c r="B37" s="17">
        <f>IFERROR((N35*12)/D35-1,"")</f>
      </c>
      <c r="C37" s="2" t="s">
        <v>83</v>
      </c>
    </row>
    <row r="39" spans="1:1" x14ac:dyDescent="0.25">
      <c r="A39" s="4" t="s">
        <v>84</v>
      </c>
    </row>
    <row r="40" spans="1:1" x14ac:dyDescent="0.25">
      <c r="A40" s="4" t="s">
        <v>85</v>
      </c>
    </row>
    <row r="41" spans="1:1" x14ac:dyDescent="0.25">
      <c r="A41" s="4" t="s">
        <v>86</v>
      </c>
    </row>
    <row r="42" spans="1:1" x14ac:dyDescent="0.25">
      <c r="A42" s="4" t="s">
        <v>87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N16"/>
  <sheetViews>
    <sheetView workbookViewId="0" showGridLines="0"/>
  </sheetViews>
  <sheetFormatPr defaultRowHeight="15" outlineLevelRow="0" outlineLevelCol="0" x14ac:dyDescent="55"/>
  <cols>
    <col min="1" max="1" width="30" customWidth="1"/>
    <col min="2" max="13" width="12" customWidth="1"/>
    <col min="14" max="14" width="15" customWidth="1"/>
  </cols>
  <sheetData>
    <row r="1" spans="1:1" x14ac:dyDescent="0.25">
      <c r="A1" s="1" t="s">
        <v>88</v>
      </c>
    </row>
    <row r="2" spans="1:1" x14ac:dyDescent="0.25">
      <c r="A2" s="2" t="s">
        <v>89</v>
      </c>
    </row>
    <row r="4" ht="32" customHeight="1" spans="1:14" x14ac:dyDescent="0.25">
      <c r="A4" s="11" t="s">
        <v>4</v>
      </c>
      <c r="B4" s="11" t="s">
        <v>90</v>
      </c>
      <c r="C4" s="11" t="s">
        <v>91</v>
      </c>
      <c r="D4" s="11" t="s">
        <v>92</v>
      </c>
      <c r="E4" s="11" t="s">
        <v>93</v>
      </c>
      <c r="F4" s="11" t="s">
        <v>94</v>
      </c>
      <c r="G4" s="11" t="s">
        <v>95</v>
      </c>
      <c r="H4" s="11" t="s">
        <v>96</v>
      </c>
      <c r="I4" s="11" t="s">
        <v>97</v>
      </c>
      <c r="J4" s="11" t="s">
        <v>98</v>
      </c>
      <c r="K4" s="11" t="s">
        <v>99</v>
      </c>
      <c r="L4" s="11" t="s">
        <v>100</v>
      </c>
      <c r="M4" s="11" t="s">
        <v>101</v>
      </c>
      <c r="N4" s="11" t="s">
        <v>102</v>
      </c>
    </row>
    <row r="5" spans="1:14" x14ac:dyDescent="0.25">
      <c r="A5" t="s">
        <v>103</v>
      </c>
      <c r="B5" s="18">
        <f>COUNTIFS(Plan!$C$5:$C$34,"&lt;="&amp;1,Plan!$C$5:$C$34,"&gt;0")</f>
      </c>
      <c r="C5" s="18">
        <f>COUNTIFS(Plan!$C$5:$C$34,"&lt;="&amp;2,Plan!$C$5:$C$34,"&gt;0")</f>
      </c>
      <c r="D5" s="18">
        <f>COUNTIFS(Plan!$C$5:$C$34,"&lt;="&amp;3,Plan!$C$5:$C$34,"&gt;0")</f>
      </c>
      <c r="E5" s="18">
        <f>COUNTIFS(Plan!$C$5:$C$34,"&lt;="&amp;4,Plan!$C$5:$C$34,"&gt;0")</f>
      </c>
      <c r="F5" s="18">
        <f>COUNTIFS(Plan!$C$5:$C$34,"&lt;="&amp;5,Plan!$C$5:$C$34,"&gt;0")</f>
      </c>
      <c r="G5" s="18">
        <f>COUNTIFS(Plan!$C$5:$C$34,"&lt;="&amp;6,Plan!$C$5:$C$34,"&gt;0")</f>
      </c>
      <c r="H5" s="18">
        <f>COUNTIFS(Plan!$C$5:$C$34,"&lt;="&amp;7,Plan!$C$5:$C$34,"&gt;0")</f>
      </c>
      <c r="I5" s="18">
        <f>COUNTIFS(Plan!$C$5:$C$34,"&lt;="&amp;8,Plan!$C$5:$C$34,"&gt;0")</f>
      </c>
      <c r="J5" s="18">
        <f>COUNTIFS(Plan!$C$5:$C$34,"&lt;="&amp;9,Plan!$C$5:$C$34,"&gt;0")</f>
      </c>
      <c r="K5" s="18">
        <f>COUNTIFS(Plan!$C$5:$C$34,"&lt;="&amp;10,Plan!$C$5:$C$34,"&gt;0")</f>
      </c>
      <c r="L5" s="18">
        <f>COUNTIFS(Plan!$C$5:$C$34,"&lt;="&amp;11,Plan!$C$5:$C$34,"&gt;0")</f>
      </c>
      <c r="M5" s="18">
        <f>COUNTIFS(Plan!$C$5:$C$34,"&lt;="&amp;12,Plan!$C$5:$C$34,"&gt;0")</f>
      </c>
      <c r="N5" s="18">
        <f>N5</f>
      </c>
    </row>
    <row r="6" spans="1:14" x14ac:dyDescent="0.25">
      <c r="A6" t="s">
        <v>104</v>
      </c>
      <c r="B6" s="18">
        <f>COUNTIF(Plan!$C$5:$C$34,1)</f>
      </c>
      <c r="C6" s="18">
        <f>COUNTIF(Plan!$C$5:$C$34,2)</f>
      </c>
      <c r="D6" s="18">
        <f>COUNTIF(Plan!$C$5:$C$34,3)</f>
      </c>
      <c r="E6" s="18">
        <f>COUNTIF(Plan!$C$5:$C$34,4)</f>
      </c>
      <c r="F6" s="18">
        <f>COUNTIF(Plan!$C$5:$C$34,5)</f>
      </c>
      <c r="G6" s="18">
        <f>COUNTIF(Plan!$C$5:$C$34,6)</f>
      </c>
      <c r="H6" s="18">
        <f>COUNTIF(Plan!$C$5:$C$34,7)</f>
      </c>
      <c r="I6" s="18">
        <f>COUNTIF(Plan!$C$5:$C$34,8)</f>
      </c>
      <c r="J6" s="18">
        <f>COUNTIF(Plan!$C$5:$C$34,9)</f>
      </c>
      <c r="K6" s="18">
        <f>COUNTIF(Plan!$C$5:$C$34,10)</f>
      </c>
      <c r="L6" s="18">
        <f>COUNTIF(Plan!$C$5:$C$34,11)</f>
      </c>
      <c r="M6" s="18">
        <f>COUNTIF(Plan!$C$5:$C$34,12)</f>
      </c>
      <c r="N6" s="18">
        <f>SUM(B6:M6)</f>
      </c>
    </row>
    <row r="7" spans="1:14" x14ac:dyDescent="0.25">
      <c r="A7" t="s">
        <v>105</v>
      </c>
      <c r="B7" s="13">
        <f>SUMIFS(Plan!$G$5:$G$34,Plan!$C$5:$C$34,"&lt;="&amp;1,Plan!$C$5:$C$34,"&gt;0")</f>
      </c>
      <c r="C7" s="13">
        <f>SUMIFS(Plan!$G$5:$G$34,Plan!$C$5:$C$34,"&lt;="&amp;2,Plan!$C$5:$C$34,"&gt;0")</f>
      </c>
      <c r="D7" s="13">
        <f>SUMIFS(Plan!$G$5:$G$34,Plan!$C$5:$C$34,"&lt;="&amp;3,Plan!$C$5:$C$34,"&gt;0")</f>
      </c>
      <c r="E7" s="13">
        <f>SUMIFS(Plan!$G$5:$G$34,Plan!$C$5:$C$34,"&lt;="&amp;4,Plan!$C$5:$C$34,"&gt;0")</f>
      </c>
      <c r="F7" s="13">
        <f>SUMIFS(Plan!$G$5:$G$34,Plan!$C$5:$C$34,"&lt;="&amp;5,Plan!$C$5:$C$34,"&gt;0")</f>
      </c>
      <c r="G7" s="13">
        <f>SUMIFS(Plan!$G$5:$G$34,Plan!$C$5:$C$34,"&lt;="&amp;6,Plan!$C$5:$C$34,"&gt;0")</f>
      </c>
      <c r="H7" s="13">
        <f>SUMIFS(Plan!$G$5:$G$34,Plan!$C$5:$C$34,"&lt;="&amp;7,Plan!$C$5:$C$34,"&gt;0")</f>
      </c>
      <c r="I7" s="13">
        <f>SUMIFS(Plan!$G$5:$G$34,Plan!$C$5:$C$34,"&lt;="&amp;8,Plan!$C$5:$C$34,"&gt;0")</f>
      </c>
      <c r="J7" s="13">
        <f>SUMIFS(Plan!$G$5:$G$34,Plan!$C$5:$C$34,"&lt;="&amp;9,Plan!$C$5:$C$34,"&gt;0")</f>
      </c>
      <c r="K7" s="13">
        <f>SUMIFS(Plan!$G$5:$G$34,Plan!$C$5:$C$34,"&lt;="&amp;10,Plan!$C$5:$C$34,"&gt;0")</f>
      </c>
      <c r="L7" s="13">
        <f>SUMIFS(Plan!$G$5:$G$34,Plan!$C$5:$C$34,"&lt;="&amp;11,Plan!$C$5:$C$34,"&gt;0")</f>
      </c>
      <c r="M7" s="13">
        <f>SUMIFS(Plan!$G$5:$G$34,Plan!$C$5:$C$34,"&lt;="&amp;12,Plan!$C$5:$C$34,"&gt;0")</f>
      </c>
      <c r="N7" s="13">
        <f>SUM(B7:M7)</f>
      </c>
    </row>
    <row r="8" spans="1:14" x14ac:dyDescent="0.25">
      <c r="A8" t="s">
        <v>106</v>
      </c>
      <c r="B8" s="13">
        <f>SUMIFS(Plan!$I$5:$I$34,Plan!$C$5:$C$34,"&lt;="&amp;1,Plan!$C$5:$C$34,"&gt;0")+SUMIFS(Plan!$J$5:$J$34,Plan!$C$5:$C$34,"&lt;="&amp;1,Plan!$C$5:$C$34,"&gt;0")+SUMIFS(Plan!$K$5:$K$34,Plan!$C$5:$C$34,"&lt;="&amp;1,Plan!$C$5:$C$34,"&gt;0")+SUMIFS(Plan!$L$5:$L$34,Plan!$C$5:$C$34,"&lt;="&amp;1,Plan!$C$5:$C$34,"&gt;0")+SUMIFS(Plan!$M$5:$M$34,Plan!$C$5:$C$34,"&lt;="&amp;1,Plan!$C$5:$C$34,"&gt;0")</f>
      </c>
      <c r="C8" s="13">
        <f>SUMIFS(Plan!$I$5:$I$34,Plan!$C$5:$C$34,"&lt;="&amp;2,Plan!$C$5:$C$34,"&gt;0")+SUMIFS(Plan!$J$5:$J$34,Plan!$C$5:$C$34,"&lt;="&amp;2,Plan!$C$5:$C$34,"&gt;0")+SUMIFS(Plan!$K$5:$K$34,Plan!$C$5:$C$34,"&lt;="&amp;2,Plan!$C$5:$C$34,"&gt;0")+SUMIFS(Plan!$L$5:$L$34,Plan!$C$5:$C$34,"&lt;="&amp;2,Plan!$C$5:$C$34,"&gt;0")+SUMIFS(Plan!$M$5:$M$34,Plan!$C$5:$C$34,"&lt;="&amp;2,Plan!$C$5:$C$34,"&gt;0")</f>
      </c>
      <c r="D8" s="13">
        <f>SUMIFS(Plan!$I$5:$I$34,Plan!$C$5:$C$34,"&lt;="&amp;3,Plan!$C$5:$C$34,"&gt;0")+SUMIFS(Plan!$J$5:$J$34,Plan!$C$5:$C$34,"&lt;="&amp;3,Plan!$C$5:$C$34,"&gt;0")+SUMIFS(Plan!$K$5:$K$34,Plan!$C$5:$C$34,"&lt;="&amp;3,Plan!$C$5:$C$34,"&gt;0")+SUMIFS(Plan!$L$5:$L$34,Plan!$C$5:$C$34,"&lt;="&amp;3,Plan!$C$5:$C$34,"&gt;0")+SUMIFS(Plan!$M$5:$M$34,Plan!$C$5:$C$34,"&lt;="&amp;3,Plan!$C$5:$C$34,"&gt;0")</f>
      </c>
      <c r="E8" s="13">
        <f>SUMIFS(Plan!$I$5:$I$34,Plan!$C$5:$C$34,"&lt;="&amp;4,Plan!$C$5:$C$34,"&gt;0")+SUMIFS(Plan!$J$5:$J$34,Plan!$C$5:$C$34,"&lt;="&amp;4,Plan!$C$5:$C$34,"&gt;0")+SUMIFS(Plan!$K$5:$K$34,Plan!$C$5:$C$34,"&lt;="&amp;4,Plan!$C$5:$C$34,"&gt;0")+SUMIFS(Plan!$L$5:$L$34,Plan!$C$5:$C$34,"&lt;="&amp;4,Plan!$C$5:$C$34,"&gt;0")+SUMIFS(Plan!$M$5:$M$34,Plan!$C$5:$C$34,"&lt;="&amp;4,Plan!$C$5:$C$34,"&gt;0")</f>
      </c>
      <c r="F8" s="13">
        <f>SUMIFS(Plan!$I$5:$I$34,Plan!$C$5:$C$34,"&lt;="&amp;5,Plan!$C$5:$C$34,"&gt;0")+SUMIFS(Plan!$J$5:$J$34,Plan!$C$5:$C$34,"&lt;="&amp;5,Plan!$C$5:$C$34,"&gt;0")+SUMIFS(Plan!$K$5:$K$34,Plan!$C$5:$C$34,"&lt;="&amp;5,Plan!$C$5:$C$34,"&gt;0")+SUMIFS(Plan!$L$5:$L$34,Plan!$C$5:$C$34,"&lt;="&amp;5,Plan!$C$5:$C$34,"&gt;0")+SUMIFS(Plan!$M$5:$M$34,Plan!$C$5:$C$34,"&lt;="&amp;5,Plan!$C$5:$C$34,"&gt;0")</f>
      </c>
      <c r="G8" s="13">
        <f>SUMIFS(Plan!$I$5:$I$34,Plan!$C$5:$C$34,"&lt;="&amp;6,Plan!$C$5:$C$34,"&gt;0")+SUMIFS(Plan!$J$5:$J$34,Plan!$C$5:$C$34,"&lt;="&amp;6,Plan!$C$5:$C$34,"&gt;0")+SUMIFS(Plan!$K$5:$K$34,Plan!$C$5:$C$34,"&lt;="&amp;6,Plan!$C$5:$C$34,"&gt;0")+SUMIFS(Plan!$L$5:$L$34,Plan!$C$5:$C$34,"&lt;="&amp;6,Plan!$C$5:$C$34,"&gt;0")+SUMIFS(Plan!$M$5:$M$34,Plan!$C$5:$C$34,"&lt;="&amp;6,Plan!$C$5:$C$34,"&gt;0")</f>
      </c>
      <c r="H8" s="13">
        <f>SUMIFS(Plan!$I$5:$I$34,Plan!$C$5:$C$34,"&lt;="&amp;7,Plan!$C$5:$C$34,"&gt;0")+SUMIFS(Plan!$J$5:$J$34,Plan!$C$5:$C$34,"&lt;="&amp;7,Plan!$C$5:$C$34,"&gt;0")+SUMIFS(Plan!$K$5:$K$34,Plan!$C$5:$C$34,"&lt;="&amp;7,Plan!$C$5:$C$34,"&gt;0")+SUMIFS(Plan!$L$5:$L$34,Plan!$C$5:$C$34,"&lt;="&amp;7,Plan!$C$5:$C$34,"&gt;0")+SUMIFS(Plan!$M$5:$M$34,Plan!$C$5:$C$34,"&lt;="&amp;7,Plan!$C$5:$C$34,"&gt;0")</f>
      </c>
      <c r="I8" s="13">
        <f>SUMIFS(Plan!$I$5:$I$34,Plan!$C$5:$C$34,"&lt;="&amp;8,Plan!$C$5:$C$34,"&gt;0")+SUMIFS(Plan!$J$5:$J$34,Plan!$C$5:$C$34,"&lt;="&amp;8,Plan!$C$5:$C$34,"&gt;0")+SUMIFS(Plan!$K$5:$K$34,Plan!$C$5:$C$34,"&lt;="&amp;8,Plan!$C$5:$C$34,"&gt;0")+SUMIFS(Plan!$L$5:$L$34,Plan!$C$5:$C$34,"&lt;="&amp;8,Plan!$C$5:$C$34,"&gt;0")+SUMIFS(Plan!$M$5:$M$34,Plan!$C$5:$C$34,"&lt;="&amp;8,Plan!$C$5:$C$34,"&gt;0")</f>
      </c>
      <c r="J8" s="13">
        <f>SUMIFS(Plan!$I$5:$I$34,Plan!$C$5:$C$34,"&lt;="&amp;9,Plan!$C$5:$C$34,"&gt;0")+SUMIFS(Plan!$J$5:$J$34,Plan!$C$5:$C$34,"&lt;="&amp;9,Plan!$C$5:$C$34,"&gt;0")+SUMIFS(Plan!$K$5:$K$34,Plan!$C$5:$C$34,"&lt;="&amp;9,Plan!$C$5:$C$34,"&gt;0")+SUMIFS(Plan!$L$5:$L$34,Plan!$C$5:$C$34,"&lt;="&amp;9,Plan!$C$5:$C$34,"&gt;0")+SUMIFS(Plan!$M$5:$M$34,Plan!$C$5:$C$34,"&lt;="&amp;9,Plan!$C$5:$C$34,"&gt;0")</f>
      </c>
      <c r="K8" s="13">
        <f>SUMIFS(Plan!$I$5:$I$34,Plan!$C$5:$C$34,"&lt;="&amp;10,Plan!$C$5:$C$34,"&gt;0")+SUMIFS(Plan!$J$5:$J$34,Plan!$C$5:$C$34,"&lt;="&amp;10,Plan!$C$5:$C$34,"&gt;0")+SUMIFS(Plan!$K$5:$K$34,Plan!$C$5:$C$34,"&lt;="&amp;10,Plan!$C$5:$C$34,"&gt;0")+SUMIFS(Plan!$L$5:$L$34,Plan!$C$5:$C$34,"&lt;="&amp;10,Plan!$C$5:$C$34,"&gt;0")+SUMIFS(Plan!$M$5:$M$34,Plan!$C$5:$C$34,"&lt;="&amp;10,Plan!$C$5:$C$34,"&gt;0")</f>
      </c>
      <c r="L8" s="13">
        <f>SUMIFS(Plan!$I$5:$I$34,Plan!$C$5:$C$34,"&lt;="&amp;11,Plan!$C$5:$C$34,"&gt;0")+SUMIFS(Plan!$J$5:$J$34,Plan!$C$5:$C$34,"&lt;="&amp;11,Plan!$C$5:$C$34,"&gt;0")+SUMIFS(Plan!$K$5:$K$34,Plan!$C$5:$C$34,"&lt;="&amp;11,Plan!$C$5:$C$34,"&gt;0")+SUMIFS(Plan!$L$5:$L$34,Plan!$C$5:$C$34,"&lt;="&amp;11,Plan!$C$5:$C$34,"&gt;0")+SUMIFS(Plan!$M$5:$M$34,Plan!$C$5:$C$34,"&lt;="&amp;11,Plan!$C$5:$C$34,"&gt;0")</f>
      </c>
      <c r="M8" s="13">
        <f>SUMIFS(Plan!$I$5:$I$34,Plan!$C$5:$C$34,"&lt;="&amp;12,Plan!$C$5:$C$34,"&gt;0")+SUMIFS(Plan!$J$5:$J$34,Plan!$C$5:$C$34,"&lt;="&amp;12,Plan!$C$5:$C$34,"&gt;0")+SUMIFS(Plan!$K$5:$K$34,Plan!$C$5:$C$34,"&lt;="&amp;12,Plan!$C$5:$C$34,"&gt;0")+SUMIFS(Plan!$L$5:$L$34,Plan!$C$5:$C$34,"&lt;="&amp;12,Plan!$C$5:$C$34,"&gt;0")+SUMIFS(Plan!$M$5:$M$34,Plan!$C$5:$C$34,"&lt;="&amp;12,Plan!$C$5:$C$34,"&gt;0")</f>
      </c>
      <c r="N8" s="13">
        <f>SUM(B8:M8)</f>
      </c>
    </row>
    <row r="9" spans="1:14" x14ac:dyDescent="0.25">
      <c r="A9" t="s">
        <v>107</v>
      </c>
      <c r="B9" s="13">
        <f>SUMIFS(Plan!$E$5:$E$34,Plan!$C$5:$C$34,"&lt;="&amp;1,Plan!$C$5:$C$34,"&gt;0")</f>
      </c>
      <c r="C9" s="13">
        <f>SUMIFS(Plan!$E$5:$E$34,Plan!$C$5:$C$34,"&lt;="&amp;2,Plan!$C$5:$C$34,"&gt;0")</f>
      </c>
      <c r="D9" s="13">
        <f>SUMIFS(Plan!$E$5:$E$34,Plan!$C$5:$C$34,"&lt;="&amp;3,Plan!$C$5:$C$34,"&gt;0")</f>
      </c>
      <c r="E9" s="13">
        <f>SUMIFS(Plan!$E$5:$E$34,Plan!$C$5:$C$34,"&lt;="&amp;4,Plan!$C$5:$C$34,"&gt;0")</f>
      </c>
      <c r="F9" s="13">
        <f>SUMIFS(Plan!$E$5:$E$34,Plan!$C$5:$C$34,"&lt;="&amp;5,Plan!$C$5:$C$34,"&gt;0")</f>
      </c>
      <c r="G9" s="13">
        <f>SUMIFS(Plan!$E$5:$E$34,Plan!$C$5:$C$34,"&lt;="&amp;6,Plan!$C$5:$C$34,"&gt;0")</f>
      </c>
      <c r="H9" s="13">
        <f>SUMIFS(Plan!$E$5:$E$34,Plan!$C$5:$C$34,"&lt;="&amp;7,Plan!$C$5:$C$34,"&gt;0")</f>
      </c>
      <c r="I9" s="13">
        <f>SUMIFS(Plan!$E$5:$E$34,Plan!$C$5:$C$34,"&lt;="&amp;8,Plan!$C$5:$C$34,"&gt;0")</f>
      </c>
      <c r="J9" s="13">
        <f>SUMIFS(Plan!$E$5:$E$34,Plan!$C$5:$C$34,"&lt;="&amp;9,Plan!$C$5:$C$34,"&gt;0")</f>
      </c>
      <c r="K9" s="13">
        <f>SUMIFS(Plan!$E$5:$E$34,Plan!$C$5:$C$34,"&lt;="&amp;10,Plan!$C$5:$C$34,"&gt;0")</f>
      </c>
      <c r="L9" s="13">
        <f>SUMIFS(Plan!$E$5:$E$34,Plan!$C$5:$C$34,"&lt;="&amp;11,Plan!$C$5:$C$34,"&gt;0")</f>
      </c>
      <c r="M9" s="13">
        <f>SUMIFS(Plan!$E$5:$E$34,Plan!$C$5:$C$34,"&lt;="&amp;12,Plan!$C$5:$C$34,"&gt;0")</f>
      </c>
      <c r="N9" s="13">
        <f>SUM(B9:M9)</f>
      </c>
    </row>
    <row r="10" spans="1:14" x14ac:dyDescent="0.25">
      <c r="A10" t="s">
        <v>108</v>
      </c>
      <c r="B10" s="13">
        <f>SUMIF(Plan!$C$5:$C$34,1,Plan!$F$5:$F$34)</f>
      </c>
      <c r="C10" s="13">
        <f>SUMIF(Plan!$C$5:$C$34,2,Plan!$F$5:$F$34)</f>
      </c>
      <c r="D10" s="13">
        <f>SUMIF(Plan!$C$5:$C$34,3,Plan!$F$5:$F$34)</f>
      </c>
      <c r="E10" s="13">
        <f>SUMIF(Plan!$C$5:$C$34,4,Plan!$F$5:$F$34)</f>
      </c>
      <c r="F10" s="13">
        <f>SUMIF(Plan!$C$5:$C$34,5,Plan!$F$5:$F$34)</f>
      </c>
      <c r="G10" s="13">
        <f>SUMIF(Plan!$C$5:$C$34,6,Plan!$F$5:$F$34)</f>
      </c>
      <c r="H10" s="13">
        <f>SUMIF(Plan!$C$5:$C$34,7,Plan!$F$5:$F$34)</f>
      </c>
      <c r="I10" s="13">
        <f>SUMIF(Plan!$C$5:$C$34,8,Plan!$F$5:$F$34)</f>
      </c>
      <c r="J10" s="13">
        <f>SUMIF(Plan!$C$5:$C$34,9,Plan!$F$5:$F$34)</f>
      </c>
      <c r="K10" s="13">
        <f>SUMIF(Plan!$C$5:$C$34,10,Plan!$F$5:$F$34)</f>
      </c>
      <c r="L10" s="13">
        <f>SUMIF(Plan!$C$5:$C$34,11,Plan!$F$5:$F$34)</f>
      </c>
      <c r="M10" s="13">
        <f>SUMIF(Plan!$C$5:$C$34,12,Plan!$F$5:$F$34)</f>
      </c>
      <c r="N10" s="13">
        <f>SUM(B10:M10)</f>
      </c>
    </row>
    <row r="11" spans="1:14" x14ac:dyDescent="0.25">
      <c r="A11" s="14" t="s">
        <v>109</v>
      </c>
      <c r="B11" s="15">
        <f>SUM(B7:B10)</f>
      </c>
      <c r="C11" s="15">
        <f>SUM(C7:C10)</f>
      </c>
      <c r="D11" s="15">
        <f>SUM(D7:D10)</f>
      </c>
      <c r="E11" s="15">
        <f>SUM(E7:E10)</f>
      </c>
      <c r="F11" s="15">
        <f>SUM(F7:F10)</f>
      </c>
      <c r="G11" s="15">
        <f>SUM(G7:G10)</f>
      </c>
      <c r="H11" s="15">
        <f>SUM(H7:H10)</f>
      </c>
      <c r="I11" s="15">
        <f>SUM(I7:I10)</f>
      </c>
      <c r="J11" s="15">
        <f>SUM(J7:J10)</f>
      </c>
      <c r="K11" s="15">
        <f>SUM(K7:K10)</f>
      </c>
      <c r="L11" s="15">
        <f>SUM(L7:L10)</f>
      </c>
      <c r="M11" s="15">
        <f>SUM(M7:M10)</f>
      </c>
      <c r="N11" s="15">
        <f>SUM(B11:M11)</f>
      </c>
    </row>
    <row r="12" spans="1:14" x14ac:dyDescent="0.25">
      <c r="A12" t="s">
        <v>110</v>
      </c>
      <c r="B12" s="13">
        <f>B11</f>
      </c>
      <c r="C12" s="13">
        <f>B12+C11</f>
      </c>
      <c r="D12" s="13">
        <f>C12+D11</f>
      </c>
      <c r="E12" s="13">
        <f>D12+E11</f>
      </c>
      <c r="F12" s="13">
        <f>E12+F11</f>
      </c>
      <c r="G12" s="13">
        <f>F12+G11</f>
      </c>
      <c r="H12" s="13">
        <f>G12+H11</f>
      </c>
      <c r="I12" s="13">
        <f>H12+I11</f>
      </c>
      <c r="J12" s="13">
        <f>I12+J11</f>
      </c>
      <c r="K12" s="13">
        <f>J12+K11</f>
      </c>
      <c r="L12" s="13">
        <f>K12+L11</f>
      </c>
      <c r="M12" s="13">
        <f>L12+M11</f>
      </c>
      <c r="N12" s="13">
        <f>M12</f>
      </c>
    </row>
    <row r="14" spans="1:1" x14ac:dyDescent="0.25">
      <c r="A14" s="4" t="s">
        <v>111</v>
      </c>
    </row>
    <row r="15" spans="1:1" x14ac:dyDescent="0.25">
      <c r="A15" s="4" t="s">
        <v>112</v>
      </c>
    </row>
    <row r="16" spans="1:1" x14ac:dyDescent="0.25">
      <c r="A16" s="4" t="s">
        <v>113</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N24"/>
  <sheetViews>
    <sheetView workbookViewId="0" showGridLines="0"/>
  </sheetViews>
  <sheetFormatPr defaultRowHeight="15" outlineLevelRow="0" outlineLevelCol="0" x14ac:dyDescent="55"/>
  <cols>
    <col min="1" max="1" width="30" customWidth="1"/>
    <col min="2" max="13" width="12" customWidth="1"/>
    <col min="14" max="14" width="15" customWidth="1"/>
  </cols>
  <sheetData>
    <row r="1" spans="1:1" x14ac:dyDescent="0.25">
      <c r="A1" s="1" t="s">
        <v>114</v>
      </c>
    </row>
    <row r="2" spans="1:1" x14ac:dyDescent="0.25">
      <c r="A2" s="2" t="s">
        <v>115</v>
      </c>
    </row>
    <row r="4" ht="32" customHeight="1" spans="1:14" x14ac:dyDescent="0.25">
      <c r="A4" s="11" t="s">
        <v>4</v>
      </c>
      <c r="B4" s="11" t="s">
        <v>90</v>
      </c>
      <c r="C4" s="11" t="s">
        <v>91</v>
      </c>
      <c r="D4" s="11" t="s">
        <v>92</v>
      </c>
      <c r="E4" s="11" t="s">
        <v>93</v>
      </c>
      <c r="F4" s="11" t="s">
        <v>94</v>
      </c>
      <c r="G4" s="11" t="s">
        <v>95</v>
      </c>
      <c r="H4" s="11" t="s">
        <v>96</v>
      </c>
      <c r="I4" s="11" t="s">
        <v>97</v>
      </c>
      <c r="J4" s="11" t="s">
        <v>98</v>
      </c>
      <c r="K4" s="11" t="s">
        <v>99</v>
      </c>
      <c r="L4" s="11" t="s">
        <v>100</v>
      </c>
      <c r="M4" s="11" t="s">
        <v>101</v>
      </c>
      <c r="N4" s="11" t="s">
        <v>102</v>
      </c>
    </row>
    <row r="5" spans="1:14" x14ac:dyDescent="0.25">
      <c r="A5" t="s">
        <v>116</v>
      </c>
      <c r="B5" s="9">
        <v>28000000</v>
      </c>
      <c r="C5" s="13">
        <f>B10</f>
      </c>
      <c r="D5" s="13">
        <f>C10</f>
      </c>
      <c r="E5" s="13">
        <f>D10</f>
      </c>
      <c r="F5" s="13">
        <f>E10</f>
      </c>
      <c r="G5" s="13">
        <f>F10</f>
      </c>
      <c r="H5" s="13">
        <f>G10</f>
      </c>
      <c r="I5" s="13">
        <f>H10</f>
      </c>
      <c r="J5" s="13">
        <f>I10</f>
      </c>
      <c r="K5" s="13">
        <f>J10</f>
      </c>
      <c r="L5" s="13">
        <f>K10</f>
      </c>
      <c r="M5" s="13">
        <f>L10</f>
      </c>
      <c r="N5" s="13">
        <f>B5</f>
      </c>
    </row>
    <row r="6" spans="1:14" x14ac:dyDescent="0.25">
      <c r="A6" t="s">
        <v>117</v>
      </c>
      <c r="B6" s="9">
        <v>1400000</v>
      </c>
      <c r="C6" s="9">
        <v>1500000</v>
      </c>
      <c r="D6" s="9">
        <v>1600000</v>
      </c>
      <c r="E6" s="9">
        <v>1750000</v>
      </c>
      <c r="F6" s="9">
        <v>1900000</v>
      </c>
      <c r="G6" s="9">
        <v>2050000</v>
      </c>
      <c r="H6" s="9">
        <v>2200000</v>
      </c>
      <c r="I6" s="9">
        <v>2400000</v>
      </c>
      <c r="J6" s="9">
        <v>2600000</v>
      </c>
      <c r="K6" s="9">
        <v>2800000</v>
      </c>
      <c r="L6" s="9">
        <v>3000000</v>
      </c>
      <c r="M6" s="9">
        <v>3200000</v>
      </c>
      <c r="N6" s="13">
        <f>SUM(B6:M6)</f>
      </c>
    </row>
    <row r="7" spans="1:14" x14ac:dyDescent="0.25">
      <c r="A7" t="s">
        <v>118</v>
      </c>
      <c r="B7" s="13">
        <f>Monthly!B11</f>
      </c>
      <c r="C7" s="13">
        <f>Monthly!C11</f>
      </c>
      <c r="D7" s="13">
        <f>Monthly!D11</f>
      </c>
      <c r="E7" s="13">
        <f>Monthly!E11</f>
      </c>
      <c r="F7" s="13">
        <f>Monthly!F11</f>
      </c>
      <c r="G7" s="13">
        <f>Monthly!G11</f>
      </c>
      <c r="H7" s="13">
        <f>Monthly!H11</f>
      </c>
      <c r="I7" s="13">
        <f>Monthly!I11</f>
      </c>
      <c r="J7" s="13">
        <f>Monthly!J11</f>
      </c>
      <c r="K7" s="13">
        <f>Monthly!K11</f>
      </c>
      <c r="L7" s="13">
        <f>Monthly!L11</f>
      </c>
      <c r="M7" s="13">
        <f>Monthly!M11</f>
      </c>
      <c r="N7" s="13">
        <f>SUM(B7:M7)</f>
      </c>
    </row>
    <row r="8" spans="1:14" x14ac:dyDescent="0.25">
      <c r="A8" t="s">
        <v>119</v>
      </c>
      <c r="B8" s="9">
        <v>2200000</v>
      </c>
      <c r="C8" s="9">
        <v>2200000</v>
      </c>
      <c r="D8" s="9">
        <v>2250000</v>
      </c>
      <c r="E8" s="9">
        <v>2300000</v>
      </c>
      <c r="F8" s="9">
        <v>2300000</v>
      </c>
      <c r="G8" s="9">
        <v>2350000</v>
      </c>
      <c r="H8" s="9">
        <v>2400000</v>
      </c>
      <c r="I8" s="9">
        <v>2400000</v>
      </c>
      <c r="J8" s="9">
        <v>2450000</v>
      </c>
      <c r="K8" s="9">
        <v>2500000</v>
      </c>
      <c r="L8" s="9">
        <v>2500000</v>
      </c>
      <c r="M8" s="9">
        <v>2550000</v>
      </c>
      <c r="N8" s="13">
        <f>SUM(B8:M8)</f>
      </c>
    </row>
    <row r="9" spans="1:14" x14ac:dyDescent="0.25">
      <c r="A9" t="s">
        <v>120</v>
      </c>
      <c r="B9" s="13">
        <f>B6-B7-B8</f>
      </c>
      <c r="C9" s="13">
        <f>C6-C7-C8</f>
      </c>
      <c r="D9" s="13">
        <f>D6-D7-D8</f>
      </c>
      <c r="E9" s="13">
        <f>E6-E7-E8</f>
      </c>
      <c r="F9" s="13">
        <f>F6-F7-F8</f>
      </c>
      <c r="G9" s="13">
        <f>G6-G7-G8</f>
      </c>
      <c r="H9" s="13">
        <f>H6-H7-H8</f>
      </c>
      <c r="I9" s="13">
        <f>I6-I7-I8</f>
      </c>
      <c r="J9" s="13">
        <f>J6-J7-J8</f>
      </c>
      <c r="K9" s="13">
        <f>K6-K7-K8</f>
      </c>
      <c r="L9" s="13">
        <f>L6-L7-L8</f>
      </c>
      <c r="M9" s="13">
        <f>M6-M7-M8</f>
      </c>
      <c r="N9" s="13">
        <f>SUM(B9:M9)</f>
      </c>
    </row>
    <row r="10" spans="1:14" x14ac:dyDescent="0.25">
      <c r="A10" s="14" t="s">
        <v>121</v>
      </c>
      <c r="B10" s="15">
        <f>B5+B9</f>
      </c>
      <c r="C10" s="15">
        <f>C5+C9</f>
      </c>
      <c r="D10" s="15">
        <f>D5+D9</f>
      </c>
      <c r="E10" s="15">
        <f>E5+E9</f>
      </c>
      <c r="F10" s="15">
        <f>F5+F9</f>
      </c>
      <c r="G10" s="15">
        <f>G5+G9</f>
      </c>
      <c r="H10" s="15">
        <f>H5+H9</f>
      </c>
      <c r="I10" s="15">
        <f>I5+I9</f>
      </c>
      <c r="J10" s="15">
        <f>J5+J9</f>
      </c>
      <c r="K10" s="15">
        <f>K5+K9</f>
      </c>
      <c r="L10" s="15">
        <f>L5+L9</f>
      </c>
      <c r="M10" s="15">
        <f>M5+M9</f>
      </c>
      <c r="N10" s="15">
        <f>M10</f>
      </c>
    </row>
    <row r="11" spans="1:13" x14ac:dyDescent="0.25">
      <c r="A11" t="s">
        <v>122</v>
      </c>
      <c r="B11" s="13">
        <f>MAX(0,-B9)</f>
      </c>
      <c r="C11" s="13">
        <f>MAX(0,-C9)</f>
      </c>
      <c r="D11" s="13">
        <f>MAX(0,-D9)</f>
      </c>
      <c r="E11" s="13">
        <f>MAX(0,-E9)</f>
      </c>
      <c r="F11" s="13">
        <f>MAX(0,-F9)</f>
      </c>
      <c r="G11" s="13">
        <f>MAX(0,-G9)</f>
      </c>
      <c r="H11" s="13">
        <f>MAX(0,-H9)</f>
      </c>
      <c r="I11" s="13">
        <f>MAX(0,-I9)</f>
      </c>
      <c r="J11" s="13">
        <f>MAX(0,-J9)</f>
      </c>
      <c r="K11" s="13">
        <f>MAX(0,-K9)</f>
      </c>
      <c r="L11" s="13">
        <f>MAX(0,-L9)</f>
      </c>
      <c r="M11" s="13">
        <f>MAX(0,-M9)</f>
      </c>
    </row>
    <row r="12" spans="1:14" x14ac:dyDescent="0.25">
      <c r="A12" t="s">
        <v>123</v>
      </c>
      <c r="B12" s="19">
        <f>IF(B11&lt;=0,"cash positive",IFERROR(B10/B11,""))</f>
      </c>
      <c r="C12" s="19">
        <f>IF(C11&lt;=0,"cash positive",IFERROR(C10/C11,""))</f>
      </c>
      <c r="D12" s="19">
        <f>IF(D11&lt;=0,"cash positive",IFERROR(D10/D11,""))</f>
      </c>
      <c r="E12" s="19">
        <f>IF(E11&lt;=0,"cash positive",IFERROR(E10/E11,""))</f>
      </c>
      <c r="F12" s="19">
        <f>IF(F11&lt;=0,"cash positive",IFERROR(F10/F11,""))</f>
      </c>
      <c r="G12" s="19">
        <f>IF(G11&lt;=0,"cash positive",IFERROR(G10/G11,""))</f>
      </c>
      <c r="H12" s="19">
        <f>IF(H11&lt;=0,"cash positive",IFERROR(H10/H11,""))</f>
      </c>
      <c r="I12" s="19">
        <f>IF(I11&lt;=0,"cash positive",IFERROR(I10/I11,""))</f>
      </c>
      <c r="J12" s="19">
        <f>IF(J11&lt;=0,"cash positive",IFERROR(J10/J11,""))</f>
      </c>
      <c r="K12" s="19">
        <f>IF(K11&lt;=0,"cash positive",IFERROR(K10/K11,""))</f>
      </c>
      <c r="L12" s="19">
        <f>IF(L11&lt;=0,"cash positive",IFERROR(L10/L11,""))</f>
      </c>
      <c r="M12" s="19">
        <f>IF(M11&lt;=0,"cash positive",IFERROR(M10/M11,""))</f>
      </c>
      <c r="N12">
        <f>M12</f>
      </c>
    </row>
    <row r="14" spans="1:14" x14ac:dyDescent="0.25">
      <c r="A14" s="5" t="s">
        <v>124</v>
      </c>
      <c r="B14" s="6"/>
      <c r="C14" s="6"/>
      <c r="D14" s="6"/>
      <c r="E14" s="6"/>
      <c r="F14" s="6"/>
      <c r="G14" s="6"/>
      <c r="H14" s="6"/>
      <c r="I14" s="6"/>
      <c r="J14" s="6"/>
      <c r="K14" s="6"/>
      <c r="L14" s="6"/>
      <c r="M14" s="6"/>
      <c r="N14" s="6"/>
    </row>
    <row r="15" spans="1:4" x14ac:dyDescent="0.25">
      <c r="A15" t="s">
        <v>125</v>
      </c>
      <c r="B15" s="20">
        <f>MIN(B10:M10)</f>
      </c>
      <c r="D15" s="2" t="s">
        <v>126</v>
      </c>
    </row>
    <row r="16" spans="1:4" x14ac:dyDescent="0.25">
      <c r="A16" t="s">
        <v>127</v>
      </c>
      <c r="B16" s="20">
        <f>Plan!N35*12</f>
      </c>
      <c r="D16" s="2" t="s">
        <v>128</v>
      </c>
    </row>
    <row r="17" spans="1:2" x14ac:dyDescent="0.25">
      <c r="A17" t="s">
        <v>129</v>
      </c>
      <c r="B17" s="13">
        <f>Monthly!N11</f>
      </c>
    </row>
    <row r="18" spans="1:4" x14ac:dyDescent="0.25">
      <c r="A18" s="16" t="s">
        <v>130</v>
      </c>
      <c r="B18" s="20">
        <f>B16-B17</f>
      </c>
      <c r="D18" s="2" t="s">
        <v>131</v>
      </c>
    </row>
    <row r="20" spans="1:1" x14ac:dyDescent="0.25">
      <c r="A20" s="4" t="s">
        <v>4</v>
      </c>
    </row>
    <row r="21" spans="1:1" x14ac:dyDescent="0.25">
      <c r="A21" s="4" t="s">
        <v>132</v>
      </c>
    </row>
    <row r="22" spans="1:1" x14ac:dyDescent="0.25">
      <c r="A22" s="4" t="s">
        <v>133</v>
      </c>
    </row>
    <row r="23" spans="1:1" x14ac:dyDescent="0.25">
      <c r="A23" s="4" t="s">
        <v>134</v>
      </c>
    </row>
    <row r="24" spans="1:1" x14ac:dyDescent="0.25">
      <c r="A24" s="4" t="s">
        <v>135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Rates</vt:lpstr>
      <vt:lpstr>Plan</vt:lpstr>
      <vt:lpstr>Monthly</vt:lpstr>
      <vt:lpstr>Cash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Simplify (withsimplify.in)</dc:creator>
  <dc:title/>
  <dc:subject/>
  <dc:description/>
  <cp:keywords/>
  <cp:category/>
  <cp:lastModifiedBy>Unknown</cp:lastModifiedBy>
  <dcterms:created xsi:type="dcterms:W3CDTF">2026-09-21T09:00:00Z</dcterms:created>
  <dcterms:modified xsi:type="dcterms:W3CDTF">2026-09-21T17:46:57Z</dcterms:modified>
</cp:coreProperties>
</file>