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ates" state="visible" r:id="rId5"/>
    <sheet sheetId="3" name="Projects" state="visible" r:id="rId6"/>
    <sheet sheetId="4" name="Utilisation" state="visible" r:id="rId7"/>
    <sheet sheetId="5" name="Summary" state="visible" r:id="rId8"/>
  </sheets>
  <calcPr calcId="171027" fullCalcOnLoad="1"/>
</workbook>
</file>

<file path=xl/sharedStrings.xml><?xml version="1.0" encoding="utf-8"?>
<sst xmlns="http://schemas.openxmlformats.org/spreadsheetml/2006/main" count="206" uniqueCount="172">
  <si>
    <t>Project profitability tracker</t>
  </si>
  <si>
    <t>Free from Simplify, withsimplify.in/templates/project-profitability-tracker</t>
  </si>
  <si>
    <t>WHAT IT ANSWERS</t>
  </si>
  <si>
    <t>What each project actually earned after the fully loaded cost of the people who delivered it, how much of your billable value reached an invoice, and how much of the time you pay for is sold at all.</t>
  </si>
  <si>
    <t/>
  </si>
  <si>
    <t>HOW TO USE IT</t>
  </si>
  <si>
    <t>1. Rates: one row per person who delivers work. Enter fully loaded cost, not salary: add employer PF, gratuity accrual, insurance, equipment and software. The cost per billable hour is calculated for you, and it will be higher than you expect.</t>
  </si>
  <si>
    <t>2. Projects: one row per project or retainer. Enter the hours delivered and what you invoiced. Margin, realisation and the variance against your estimate are calculated.</t>
  </si>
  <si>
    <t>3. Utilisation: billable hours per person per month. Utilisation is calculated against the paid hours on the Rates sheet.</t>
  </si>
  <si>
    <t>4. Summary: the firm-level picture, including the card rate your margin target actually requires.</t>
  </si>
  <si>
    <t>Shaded cells are yours to change. Everything else is a formula. The example figures are invented and are there to show the shape; clear them and use your own.</t>
  </si>
  <si>
    <t>THE TWO RATIOS THAT EXPLAIN MOST OF IT</t>
  </si>
  <si>
    <t>Utilisation is billable hours as a share of paid hours. It decides how many hours there are to sell.</t>
  </si>
  <si>
    <t>Realisation is invoiced value as a share of billable value at card rate. It decides how much of each sold hour reaches an invoice, after discounts, write-offs and scope delivered free.</t>
  </si>
  <si>
    <t>They compound. A firm at 62% utilisation and 82% realisation earns roughly half of what its rate card implies, and neither figure on its own looks alarming.</t>
  </si>
  <si>
    <t>WHERE THE HOURS COME FROM</t>
  </si>
  <si>
    <t>This needs time tracked against projects. If you do not track time, start with a fortnight of rough estimates from each person: the answer will be directionally right and better than the rate card.</t>
  </si>
  <si>
    <t>Count the bench inside paid hours rather than leaving it out, or the cost per billable hour will be understated and every project will look more profitable than it was.</t>
  </si>
  <si>
    <t>WHAT IT IS NOT</t>
  </si>
  <si>
    <t>Not a timesheet system, and not a substitute for one if you bill by the hour and need an audit trail. It is a monthly management view.</t>
  </si>
  <si>
    <t>Not a replacement for your accounts. Invoiced value here is what you billed, which will not tie exactly to recognised revenue on a fixed-price project spanning a year end.</t>
  </si>
  <si>
    <t>Guide to using this template: withsimplify.in/templates/project-profitability-tracker</t>
  </si>
  <si>
    <t>What an hour of each person costs</t>
  </si>
  <si>
    <t>Fully loaded cost, not salary. Shaded cells are yours.</t>
  </si>
  <si>
    <t>Person</t>
  </si>
  <si>
    <t>Role</t>
  </si>
  <si>
    <t>Fully loaded cost a year</t>
  </si>
  <si>
    <t>Paid hours a year</t>
  </si>
  <si>
    <t>Utilisation</t>
  </si>
  <si>
    <t>Cost per paid hour</t>
  </si>
  <si>
    <t>Billable hours</t>
  </si>
  <si>
    <t>Cost per billable hour</t>
  </si>
  <si>
    <t>Card rate</t>
  </si>
  <si>
    <t>Principal</t>
  </si>
  <si>
    <t>Delivery lead</t>
  </si>
  <si>
    <t>Senior engineer 1</t>
  </si>
  <si>
    <t>Delivery</t>
  </si>
  <si>
    <t>Senior engineer 2</t>
  </si>
  <si>
    <t>Engineer 1</t>
  </si>
  <si>
    <t>Engineer 2</t>
  </si>
  <si>
    <t>Designer</t>
  </si>
  <si>
    <t>Engineer 3</t>
  </si>
  <si>
    <t>Analyst</t>
  </si>
  <si>
    <t>All delivery people</t>
  </si>
  <si>
    <t>The weighted figures on the total row are what the Projects and Summary sheets use as a blended default.</t>
  </si>
  <si>
    <t>Cost per billable hour is the number to price from. Cost per paid hour understates it by whatever your utilisation is short of 100%.</t>
  </si>
  <si>
    <t>What each project earned</t>
  </si>
  <si>
    <t>One row per project or retainer. Shaded cells are yours.</t>
  </si>
  <si>
    <t>Project</t>
  </si>
  <si>
    <t>Client</t>
  </si>
  <si>
    <t>Type</t>
  </si>
  <si>
    <t>Agreed fee</t>
  </si>
  <si>
    <t>Est. hours</t>
  </si>
  <si>
    <t>Hours done</t>
  </si>
  <si>
    <t>Cost per hour</t>
  </si>
  <si>
    <t>Delivery cost</t>
  </si>
  <si>
    <t>Value at card rate</t>
  </si>
  <si>
    <t>Invoiced to date</t>
  </si>
  <si>
    <t>Margin</t>
  </si>
  <si>
    <t>Margin %</t>
  </si>
  <si>
    <t>Realisation</t>
  </si>
  <si>
    <t>Hours vs est.</t>
  </si>
  <si>
    <t>Status</t>
  </si>
  <si>
    <t>Platform rebuild</t>
  </si>
  <si>
    <t>Client A</t>
  </si>
  <si>
    <t>Time and materials</t>
  </si>
  <si>
    <t>Data pipeline</t>
  </si>
  <si>
    <t>Client C</t>
  </si>
  <si>
    <t>Integration work</t>
  </si>
  <si>
    <t>Migration</t>
  </si>
  <si>
    <t>Staff augmentation</t>
  </si>
  <si>
    <t>Client J</t>
  </si>
  <si>
    <t>Mobile app v2</t>
  </si>
  <si>
    <t>Client B</t>
  </si>
  <si>
    <t>Fixed price</t>
  </si>
  <si>
    <t>Design system</t>
  </si>
  <si>
    <t>Client E</t>
  </si>
  <si>
    <t>Analytics build</t>
  </si>
  <si>
    <t>Client F</t>
  </si>
  <si>
    <t>Discovery sprint</t>
  </si>
  <si>
    <t>Client H</t>
  </si>
  <si>
    <t>Reporting module</t>
  </si>
  <si>
    <t>Client I</t>
  </si>
  <si>
    <t>Portal build</t>
  </si>
  <si>
    <t>Client K</t>
  </si>
  <si>
    <t>Support retainer</t>
  </si>
  <si>
    <t>Client D</t>
  </si>
  <si>
    <t>Retainer</t>
  </si>
  <si>
    <t>Growth retainer</t>
  </si>
  <si>
    <t>Client G</t>
  </si>
  <si>
    <t>Maintenance</t>
  </si>
  <si>
    <t>All projects</t>
  </si>
  <si>
    <t>Status is a rough flag, not a judgement. Review means delivery margin under 35% or realisation under 80%. Watch means under 45% or under 90%. Set the thresholds to whatever your business actually runs at.</t>
  </si>
  <si>
    <t>Realisation compares what you invoiced against what the hours were worth at card rate. Below 100% means discounts, write-offs or scope delivered free.</t>
  </si>
  <si>
    <t>On fixed-price work it can read above 100%, which means the job came in under the hours and earned more than your card rate would have. That is real information rather than an error, and it is the other half of the same story as an overrun.</t>
  </si>
  <si>
    <t>Hours vs estimate matters most on fixed-price work. A consistent overrun is an estimating problem rather than a pricing one, and the two have different fixes.</t>
  </si>
  <si>
    <t>For time and materials work leave the agreed fee blank. There is nothing to compare against.</t>
  </si>
  <si>
    <t>Billable hours by person, by month</t>
  </si>
  <si>
    <t>April to March. Shaded cells are yours.</t>
  </si>
  <si>
    <t>Apr</t>
  </si>
  <si>
    <t>May</t>
  </si>
  <si>
    <t>Jun</t>
  </si>
  <si>
    <t>Jul</t>
  </si>
  <si>
    <t>Aug</t>
  </si>
  <si>
    <t>Sep</t>
  </si>
  <si>
    <t>Oct</t>
  </si>
  <si>
    <t>Nov</t>
  </si>
  <si>
    <t>Dec</t>
  </si>
  <si>
    <t>Jan</t>
  </si>
  <si>
    <t>Feb</t>
  </si>
  <si>
    <t>Mar</t>
  </si>
  <si>
    <t>Total billable</t>
  </si>
  <si>
    <t>Paid hours</t>
  </si>
  <si>
    <t>Team</t>
  </si>
  <si>
    <t>Paid hours are pulled from the Rates sheet, so a change there flows through here.</t>
  </si>
  <si>
    <t>Billable means an hour a client is charged for, whether or not it was eventually invoiced. What happened to it afterwards is realisation, on the Projects sheet.</t>
  </si>
  <si>
    <t>A month well below the rest usually has an explanation worth writing down: a project ended, someone was on the bench, or a proposal took a fortnight.</t>
  </si>
  <si>
    <t>The firm this year</t>
  </si>
  <si>
    <t>Everything here is calculated. The two shaded cells are yours.</t>
  </si>
  <si>
    <t>DELIVERY</t>
  </si>
  <si>
    <t>What you billed across every project</t>
  </si>
  <si>
    <t>What the same hours were worth before discounts and free scope</t>
  </si>
  <si>
    <t>The share of your billable value that reached an invoice</t>
  </si>
  <si>
    <t>Hours delivered at fully loaded cost</t>
  </si>
  <si>
    <t>Gross margin</t>
  </si>
  <si>
    <t>Gross margin %</t>
  </si>
  <si>
    <t>Before anything that is not delivery</t>
  </si>
  <si>
    <t>THE WHOLE FIRM</t>
  </si>
  <si>
    <t>Overheads, share of revenue</t>
  </si>
  <si>
    <t>Sales, admin, finance, office and founder time</t>
  </si>
  <si>
    <t>Operating margin you want</t>
  </si>
  <si>
    <t>Used to work the required card rate backwards</t>
  </si>
  <si>
    <t>Overhead cost</t>
  </si>
  <si>
    <t>Operating profit</t>
  </si>
  <si>
    <t>Operating margin %</t>
  </si>
  <si>
    <t>The number the target above is measured against</t>
  </si>
  <si>
    <t>CAPACITY</t>
  </si>
  <si>
    <t>Utilisation across the team</t>
  </si>
  <si>
    <t>Billable hours as a share of the hours you pay for</t>
  </si>
  <si>
    <t>Hours paid for</t>
  </si>
  <si>
    <t>Hours billed</t>
  </si>
  <si>
    <t>Hours you could not sell</t>
  </si>
  <si>
    <t>What those hours cost</t>
  </si>
  <si>
    <t>At the weighted cost of a paid hour</t>
  </si>
  <si>
    <t>Value never invoiced</t>
  </si>
  <si>
    <t>Discounts, write-offs and scope delivered free</t>
  </si>
  <si>
    <t>WHAT THE TARGET NEEDS</t>
  </si>
  <si>
    <t>Weighted across the team</t>
  </si>
  <si>
    <t>Left for delivery after overheads and margin</t>
  </si>
  <si>
    <t>If this is zero or less, no rate card can reach the target</t>
  </si>
  <si>
    <t>Effective rate the target needs</t>
  </si>
  <si>
    <t>After realisation has taken its share</t>
  </si>
  <si>
    <t>Card rate the target needs</t>
  </si>
  <si>
    <t>Divide by realisation to get back to the card</t>
  </si>
  <si>
    <t>Your card rate now</t>
  </si>
  <si>
    <t>Weighted across the work you actually delivered</t>
  </si>
  <si>
    <t>Headroom on the card rate</t>
  </si>
  <si>
    <t>Negative means the card rate is below what the target requires</t>
  </si>
  <si>
    <t>DOES IT TIE?</t>
  </si>
  <si>
    <t>Hours on the Projects sheet</t>
  </si>
  <si>
    <t>Hours recorded against projects</t>
  </si>
  <si>
    <t>Hours on the Utilisation sheet</t>
  </si>
  <si>
    <t>Billable hours recorded by person</t>
  </si>
  <si>
    <t>Difference</t>
  </si>
  <si>
    <t>Check</t>
  </si>
  <si>
    <t>Delivery cost comes from Projects and hours billed from Utilisation. If these two do not agree, every margin on this sheet is wrong.</t>
  </si>
  <si>
    <t>HOW TO READ THIS</t>
  </si>
  <si>
    <t>If the card rate has no headroom, fix realisation before raising prices. Billing work you already deliver is faster and less contentious than charging more for it.</t>
  </si>
  <si>
    <t>Compare the two loss figures under Capacity. Whichever is larger tells you whether the problem is selling hours or billing them, and they have completely different fixes.</t>
  </si>
  <si>
    <t>Utilisation below about 60% across a team usually means resourcing rather than effort: people are between projects, not idle at their desks.</t>
  </si>
  <si>
    <t>A healthy average can sit on top of two or three projects that lose money. Sort the Projects sheet by margin before concluding anything from this page.</t>
  </si>
  <si>
    <t>Every figure on this sheet comes from the other three. If something looks wrong, the input is wrong.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</si>
</sst>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Red]-#,##0"/>
    <numFmt numFmtId="165" formatCode="0.0%;[Red]-0.0%"/>
  </numFmts>
  <fonts count="6" x14ac:knownFonts="1">
    <font>
      <color theme="1"/>
      <family val="2"/>
      <scheme val="minor"/>
      <sz val="11"/>
      <name val="Calibri"/>
    </font>
    <font>
      <b/>
      <color rgb="FF121316"/>
      <sz val="16"/>
    </font>
    <font>
      <color rgb="FF6B6B6B"/>
      <sz val="10"/>
    </font>
    <font>
      <b/>
    </font>
    <font>
      <b/>
      <color rgb="FFFFFFFF"/>
    </font>
    <font>
      <b/>
      <color rgb="FF121316"/>
    </font>
  </fonts>
  <fills count="5">
    <fill>
      <patternFill patternType="none"/>
    </fill>
    <fill>
      <patternFill patternType="gray125"/>
    </fill>
    <fill>
      <patternFill patternType="solid">
        <fgColor rgb="FF121316"/>
      </patternFill>
    </fill>
    <fill>
      <patternFill patternType="solid">
        <fgColor rgb="FFF1F8D0"/>
      </patternFill>
    </fill>
    <fill>
      <patternFill patternType="solid">
        <fgColor rgb="FFF2F2EE"/>
      </patternFill>
    </fill>
  </fills>
  <borders count="2">
    <border>
      <left/>
      <right/>
      <top/>
      <bottom/>
      <diagonal/>
    </border>
    <border>
      <left/>
      <right/>
      <top style="thin">
        <color rgb="FF121316"/>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164" fontId="0" fillId="3" borderId="0" xfId="0" applyNumberFormat="1" applyFill="1"/>
    <xf numFmtId="165" fontId="0" fillId="3" borderId="0" xfId="0" applyNumberFormat="1" applyFill="1"/>
    <xf numFmtId="164" fontId="0" fillId="0" borderId="0" xfId="0" applyNumberFormat="1"/>
    <xf numFmtId="3" fontId="0" fillId="0" borderId="0" xfId="0" applyNumberFormat="1"/>
    <xf numFmtId="0" fontId="3" fillId="0" borderId="1" xfId="0" applyFont="1" applyBorder="1"/>
    <xf numFmtId="164" fontId="3" fillId="0" borderId="1" xfId="0" applyNumberFormat="1" applyFont="1" applyBorder="1"/>
    <xf numFmtId="165" fontId="3" fillId="0" borderId="1" xfId="0" applyNumberFormat="1" applyFont="1" applyBorder="1"/>
    <xf numFmtId="3" fontId="3" fillId="0" borderId="1" xfId="0" applyNumberFormat="1" applyFont="1" applyBorder="1"/>
    <xf numFmtId="165" fontId="0" fillId="0" borderId="0" xfId="0" applyNumberFormat="1"/>
    <xf numFmtId="3" fontId="0" fillId="3" borderId="0" xfId="0" applyNumberFormat="1" applyFill="1"/>
    <xf numFmtId="0" fontId="5" fillId="4" borderId="0" xfId="0" applyFont="1" applyFill="1"/>
    <xf numFmtId="0" fontId="0" fillId="4" borderId="0" xfId="0" applyFill="1"/>
    <xf numFmtId="0" fontId="2" fillId="0" borderId="0" xfId="0" applyFont="1" applyAlignment="1">
      <alignment vertical="top"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8F850"/>
  </sheetPr>
  <dimension ref="A1:A28"/>
  <sheetViews>
    <sheetView workbookViewId="0" showGridLines="0"/>
  </sheetViews>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4" t="s">
        <v>4</v>
      </c>
    </row>
    <row r="7" spans="1:1" x14ac:dyDescent="0.25">
      <c r="A7" s="3"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4" t="s">
        <v>4</v>
      </c>
    </row>
    <row r="13" spans="1:1" x14ac:dyDescent="0.25">
      <c r="A13" s="4" t="s">
        <v>10</v>
      </c>
    </row>
    <row r="14" spans="1:1" x14ac:dyDescent="0.25">
      <c r="A14" s="4" t="s">
        <v>4</v>
      </c>
    </row>
    <row r="15" spans="1:1" x14ac:dyDescent="0.25">
      <c r="A15" s="3" t="s">
        <v>11</v>
      </c>
    </row>
    <row r="16" spans="1:1" x14ac:dyDescent="0.25">
      <c r="A16" s="4" t="s">
        <v>12</v>
      </c>
    </row>
    <row r="17" spans="1:1" x14ac:dyDescent="0.25">
      <c r="A17" s="4" t="s">
        <v>13</v>
      </c>
    </row>
    <row r="18" spans="1:1" x14ac:dyDescent="0.25">
      <c r="A18" s="4" t="s">
        <v>14</v>
      </c>
    </row>
    <row r="19" spans="1:1" x14ac:dyDescent="0.25">
      <c r="A19" s="4" t="s">
        <v>4</v>
      </c>
    </row>
    <row r="20" spans="1:1" x14ac:dyDescent="0.25">
      <c r="A20" s="3" t="s">
        <v>15</v>
      </c>
    </row>
    <row r="21" spans="1:1" x14ac:dyDescent="0.25">
      <c r="A21" s="4" t="s">
        <v>16</v>
      </c>
    </row>
    <row r="22" spans="1:1" x14ac:dyDescent="0.25">
      <c r="A22" s="4" t="s">
        <v>17</v>
      </c>
    </row>
    <row r="23" spans="1:1" x14ac:dyDescent="0.25">
      <c r="A23" s="4" t="s">
        <v>4</v>
      </c>
    </row>
    <row r="24" spans="1:1" x14ac:dyDescent="0.25">
      <c r="A24" s="3" t="s">
        <v>18</v>
      </c>
    </row>
    <row r="25" spans="1:1" x14ac:dyDescent="0.25">
      <c r="A25" s="4" t="s">
        <v>19</v>
      </c>
    </row>
    <row r="26" spans="1:1" x14ac:dyDescent="0.25">
      <c r="A26" s="4" t="s">
        <v>20</v>
      </c>
    </row>
    <row r="27" spans="1:1" x14ac:dyDescent="0.25">
      <c r="A27" s="4" t="s">
        <v>4</v>
      </c>
    </row>
    <row r="28" spans="1:1" x14ac:dyDescent="0.25">
      <c r="A28" s="4"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I16"/>
  <sheetViews>
    <sheetView workbookViewId="0" showGridLines="0"/>
  </sheetViews>
  <sheetFormatPr defaultRowHeight="15" outlineLevelRow="0" outlineLevelCol="0" x14ac:dyDescent="55"/>
  <cols>
    <col min="1" max="1" width="22" customWidth="1"/>
    <col min="2" max="2" width="18" customWidth="1"/>
    <col min="3" max="3" width="20" customWidth="1"/>
    <col min="4" max="4" width="14" customWidth="1"/>
    <col min="5" max="5" width="13" customWidth="1"/>
    <col min="6" max="6" width="16" customWidth="1"/>
    <col min="7" max="7" width="14" customWidth="1"/>
    <col min="8" max="8" width="18" customWidth="1"/>
    <col min="9" max="9" width="13" customWidth="1"/>
  </cols>
  <sheetData>
    <row r="1" spans="1:1" x14ac:dyDescent="0.25">
      <c r="A1" s="1" t="s">
        <v>22</v>
      </c>
    </row>
    <row r="2" spans="1:1" x14ac:dyDescent="0.25">
      <c r="A2" s="2" t="s">
        <v>23</v>
      </c>
    </row>
    <row r="4" ht="30" customHeight="1" spans="1:9" x14ac:dyDescent="0.25">
      <c r="A4" s="5" t="s">
        <v>24</v>
      </c>
      <c r="B4" s="5" t="s">
        <v>25</v>
      </c>
      <c r="C4" s="5" t="s">
        <v>26</v>
      </c>
      <c r="D4" s="5" t="s">
        <v>27</v>
      </c>
      <c r="E4" s="5" t="s">
        <v>28</v>
      </c>
      <c r="F4" s="5" t="s">
        <v>29</v>
      </c>
      <c r="G4" s="5" t="s">
        <v>30</v>
      </c>
      <c r="H4" s="5" t="s">
        <v>31</v>
      </c>
      <c r="I4" s="5" t="s">
        <v>32</v>
      </c>
    </row>
    <row r="5" spans="1:9" x14ac:dyDescent="0.25">
      <c r="A5" s="6" t="s">
        <v>33</v>
      </c>
      <c r="B5" s="6" t="s">
        <v>34</v>
      </c>
      <c r="C5" s="7">
        <v>2400000</v>
      </c>
      <c r="D5" s="6">
        <v>1850</v>
      </c>
      <c r="E5" s="8">
        <v>0.55</v>
      </c>
      <c r="F5" s="9">
        <f>IFERROR(C5/D5,"")</f>
      </c>
      <c r="G5" s="10">
        <f>D5*E5</f>
      </c>
      <c r="H5" s="9">
        <f>IFERROR(C5/G5,"")</f>
      </c>
      <c r="I5" s="7">
        <v>4200</v>
      </c>
    </row>
    <row r="6" spans="1:9" x14ac:dyDescent="0.25">
      <c r="A6" s="6" t="s">
        <v>35</v>
      </c>
      <c r="B6" s="6" t="s">
        <v>36</v>
      </c>
      <c r="C6" s="7">
        <v>1650000</v>
      </c>
      <c r="D6" s="6">
        <v>1850</v>
      </c>
      <c r="E6" s="8">
        <v>0.65</v>
      </c>
      <c r="F6" s="9">
        <f>IFERROR(C6/D6,"")</f>
      </c>
      <c r="G6" s="10">
        <f>D6*E6</f>
      </c>
      <c r="H6" s="9">
        <f>IFERROR(C6/G6,"")</f>
      </c>
      <c r="I6" s="7">
        <v>3000</v>
      </c>
    </row>
    <row r="7" spans="1:9" x14ac:dyDescent="0.25">
      <c r="A7" s="6" t="s">
        <v>37</v>
      </c>
      <c r="B7" s="6" t="s">
        <v>36</v>
      </c>
      <c r="C7" s="7">
        <v>1600000</v>
      </c>
      <c r="D7" s="6">
        <v>1850</v>
      </c>
      <c r="E7" s="8">
        <v>0.68</v>
      </c>
      <c r="F7" s="9">
        <f>IFERROR(C7/D7,"")</f>
      </c>
      <c r="G7" s="10">
        <f>D7*E7</f>
      </c>
      <c r="H7" s="9">
        <f>IFERROR(C7/G7,"")</f>
      </c>
      <c r="I7" s="7">
        <v>3000</v>
      </c>
    </row>
    <row r="8" spans="1:9" x14ac:dyDescent="0.25">
      <c r="A8" s="6" t="s">
        <v>38</v>
      </c>
      <c r="B8" s="6" t="s">
        <v>36</v>
      </c>
      <c r="C8" s="7">
        <v>1200000</v>
      </c>
      <c r="D8" s="6">
        <v>1850</v>
      </c>
      <c r="E8" s="8">
        <v>0.7</v>
      </c>
      <c r="F8" s="9">
        <f>IFERROR(C8/D8,"")</f>
      </c>
      <c r="G8" s="10">
        <f>D8*E8</f>
      </c>
      <c r="H8" s="9">
        <f>IFERROR(C8/G8,"")</f>
      </c>
      <c r="I8" s="7">
        <v>2400</v>
      </c>
    </row>
    <row r="9" spans="1:9" x14ac:dyDescent="0.25">
      <c r="A9" s="6" t="s">
        <v>39</v>
      </c>
      <c r="B9" s="6" t="s">
        <v>36</v>
      </c>
      <c r="C9" s="7">
        <v>1150000</v>
      </c>
      <c r="D9" s="6">
        <v>1850</v>
      </c>
      <c r="E9" s="8">
        <v>0.72</v>
      </c>
      <c r="F9" s="9">
        <f>IFERROR(C9/D9,"")</f>
      </c>
      <c r="G9" s="10">
        <f>D9*E9</f>
      </c>
      <c r="H9" s="9">
        <f>IFERROR(C9/G9,"")</f>
      </c>
      <c r="I9" s="7">
        <v>2300</v>
      </c>
    </row>
    <row r="10" spans="1:9" x14ac:dyDescent="0.25">
      <c r="A10" s="6" t="s">
        <v>40</v>
      </c>
      <c r="B10" s="6" t="s">
        <v>36</v>
      </c>
      <c r="C10" s="7">
        <v>1300000</v>
      </c>
      <c r="D10" s="6">
        <v>1850</v>
      </c>
      <c r="E10" s="8">
        <v>0.6</v>
      </c>
      <c r="F10" s="9">
        <f>IFERROR(C10/D10,"")</f>
      </c>
      <c r="G10" s="10">
        <f>D10*E10</f>
      </c>
      <c r="H10" s="9">
        <f>IFERROR(C10/G10,"")</f>
      </c>
      <c r="I10" s="7">
        <v>2600</v>
      </c>
    </row>
    <row r="11" spans="1:9" x14ac:dyDescent="0.25">
      <c r="A11" s="6" t="s">
        <v>41</v>
      </c>
      <c r="B11" s="6" t="s">
        <v>36</v>
      </c>
      <c r="C11" s="7">
        <v>1100000</v>
      </c>
      <c r="D11" s="6">
        <v>1850</v>
      </c>
      <c r="E11" s="8">
        <v>0.66</v>
      </c>
      <c r="F11" s="9">
        <f>IFERROR(C11/D11,"")</f>
      </c>
      <c r="G11" s="10">
        <f>D11*E11</f>
      </c>
      <c r="H11" s="9">
        <f>IFERROR(C11/G11,"")</f>
      </c>
      <c r="I11" s="7">
        <v>2200</v>
      </c>
    </row>
    <row r="12" spans="1:9" x14ac:dyDescent="0.25">
      <c r="A12" s="6" t="s">
        <v>42</v>
      </c>
      <c r="B12" s="6" t="s">
        <v>36</v>
      </c>
      <c r="C12" s="7">
        <v>850000</v>
      </c>
      <c r="D12" s="6">
        <v>1850</v>
      </c>
      <c r="E12" s="8">
        <v>0.58</v>
      </c>
      <c r="F12" s="9">
        <f>IFERROR(C12/D12,"")</f>
      </c>
      <c r="G12" s="10">
        <f>D12*E12</f>
      </c>
      <c r="H12" s="9">
        <f>IFERROR(C12/G12,"")</f>
      </c>
      <c r="I12" s="7">
        <v>1700</v>
      </c>
    </row>
    <row r="13" spans="1:9" x14ac:dyDescent="0.25">
      <c r="A13" s="11" t="s">
        <v>43</v>
      </c>
      <c r="B13" s="11"/>
      <c r="C13" s="12">
        <f>SUM(C5:C12)</f>
      </c>
      <c r="D13" s="11">
        <f>SUM(D5:D12)</f>
      </c>
      <c r="E13" s="13">
        <f>IFERROR(G13/D13,"")</f>
      </c>
      <c r="F13" s="12">
        <f>IFERROR(C13/D13,"")</f>
      </c>
      <c r="G13" s="14">
        <f>SUM(G5:G12)</f>
      </c>
      <c r="H13" s="12">
        <f>IFERROR(C13/G13,"")</f>
      </c>
      <c r="I13" s="12">
        <f>IFERROR(SUMPRODUCT(G5:G12,I5:I12)/G13,"")</f>
      </c>
    </row>
    <row r="15" spans="1:1" x14ac:dyDescent="0.25">
      <c r="A15" s="4" t="s">
        <v>44</v>
      </c>
    </row>
    <row r="16" spans="1:1" x14ac:dyDescent="0.25">
      <c r="A16" s="4" t="s">
        <v>45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P33"/>
  <sheetViews>
    <sheetView workbookViewId="0" showGridLines="0"/>
  </sheetViews>
  <sheetFormatPr defaultRowHeight="15" outlineLevelRow="0" outlineLevelCol="0" x14ac:dyDescent="55"/>
  <cols>
    <col min="1" max="1" width="22" customWidth="1"/>
    <col min="2" max="2" width="13" customWidth="1"/>
    <col min="3" max="3" width="19" customWidth="1"/>
    <col min="4" max="4" width="15" customWidth="1"/>
    <col min="5" max="8" width="12" customWidth="1"/>
    <col min="9" max="9" width="15" customWidth="1"/>
    <col min="10" max="11" width="16" customWidth="1"/>
    <col min="12" max="12" width="14" customWidth="1"/>
    <col min="13" max="13" width="13" customWidth="1"/>
    <col min="14" max="14" width="14" customWidth="1"/>
    <col min="15" max="15" width="12" customWidth="1"/>
    <col min="16" max="16" width="16" customWidth="1"/>
  </cols>
  <sheetData>
    <row r="1" spans="1:1" x14ac:dyDescent="0.25">
      <c r="A1" s="1" t="s">
        <v>46</v>
      </c>
    </row>
    <row r="2" spans="1:1" x14ac:dyDescent="0.25">
      <c r="A2" s="2" t="s">
        <v>47</v>
      </c>
    </row>
    <row r="4" ht="30" customHeight="1" spans="1:16" x14ac:dyDescent="0.25">
      <c r="A4" s="5" t="s">
        <v>48</v>
      </c>
      <c r="B4" s="5" t="s">
        <v>49</v>
      </c>
      <c r="C4" s="5" t="s">
        <v>50</v>
      </c>
      <c r="D4" s="5" t="s">
        <v>51</v>
      </c>
      <c r="E4" s="5" t="s">
        <v>52</v>
      </c>
      <c r="F4" s="5" t="s">
        <v>53</v>
      </c>
      <c r="G4" s="5" t="s">
        <v>54</v>
      </c>
      <c r="H4" s="5" t="s">
        <v>32</v>
      </c>
      <c r="I4" s="5" t="s">
        <v>55</v>
      </c>
      <c r="J4" s="5" t="s">
        <v>56</v>
      </c>
      <c r="K4" s="5" t="s">
        <v>57</v>
      </c>
      <c r="L4" s="5" t="s">
        <v>58</v>
      </c>
      <c r="M4" s="5" t="s">
        <v>59</v>
      </c>
      <c r="N4" s="5" t="s">
        <v>60</v>
      </c>
      <c r="O4" s="5" t="s">
        <v>61</v>
      </c>
      <c r="P4" s="5" t="s">
        <v>62</v>
      </c>
    </row>
    <row r="5" spans="1:16" x14ac:dyDescent="0.25">
      <c r="A5" s="6" t="s">
        <v>63</v>
      </c>
      <c r="B5" s="6" t="s">
        <v>64</v>
      </c>
      <c r="C5" s="6" t="s">
        <v>65</v>
      </c>
      <c r="D5" s="7"/>
      <c r="E5" s="7">
        <v>1400</v>
      </c>
      <c r="F5" s="7">
        <v>1460</v>
      </c>
      <c r="G5" s="7">
        <v>1250</v>
      </c>
      <c r="H5" s="7">
        <v>2400</v>
      </c>
      <c r="I5" s="9">
        <f>F5*G5</f>
      </c>
      <c r="J5" s="9">
        <f>F5*H5</f>
      </c>
      <c r="K5" s="7">
        <f>F5*H5</f>
      </c>
      <c r="L5" s="9">
        <f>K5-I5</f>
      </c>
      <c r="M5" s="15">
        <f>IFERROR(L5/K5,"")</f>
      </c>
      <c r="N5" s="15">
        <f>IFERROR(K5/J5,"")</f>
      </c>
      <c r="O5" s="9">
        <f>IFERROR(F5-E5,"")</f>
      </c>
      <c r="P5">
        <f>IF(K5=0,"",IF(OR(M5&lt;0.35,N5&lt;0.8),"Review",IF(OR(M5&lt;0.45,N5&lt;0.9),"Watch","Healthy")))</f>
      </c>
    </row>
    <row r="6" spans="1:16" x14ac:dyDescent="0.25">
      <c r="A6" s="6" t="s">
        <v>66</v>
      </c>
      <c r="B6" s="6" t="s">
        <v>67</v>
      </c>
      <c r="C6" s="6" t="s">
        <v>65</v>
      </c>
      <c r="D6" s="7"/>
      <c r="E6" s="7">
        <v>780</v>
      </c>
      <c r="F6" s="7">
        <v>810</v>
      </c>
      <c r="G6" s="7">
        <v>1350</v>
      </c>
      <c r="H6" s="7">
        <v>2600</v>
      </c>
      <c r="I6" s="9">
        <f>F6*G6</f>
      </c>
      <c r="J6" s="9">
        <f>F6*H6</f>
      </c>
      <c r="K6" s="7">
        <f>F6*H6</f>
      </c>
      <c r="L6" s="9">
        <f>K6-I6</f>
      </c>
      <c r="M6" s="15">
        <f>IFERROR(L6/K6,"")</f>
      </c>
      <c r="N6" s="15">
        <f>IFERROR(K6/J6,"")</f>
      </c>
      <c r="O6" s="9">
        <f>IFERROR(F6-E6,"")</f>
      </c>
      <c r="P6">
        <f>IF(K6=0,"",IF(OR(M6&lt;0.35,N6&lt;0.8),"Review",IF(OR(M6&lt;0.45,N6&lt;0.9),"Watch","Healthy")))</f>
      </c>
    </row>
    <row r="7" spans="1:16" x14ac:dyDescent="0.25">
      <c r="A7" s="6" t="s">
        <v>68</v>
      </c>
      <c r="B7" s="6" t="s">
        <v>64</v>
      </c>
      <c r="C7" s="6" t="s">
        <v>65</v>
      </c>
      <c r="D7" s="7"/>
      <c r="E7" s="7">
        <v>380</v>
      </c>
      <c r="F7" s="7">
        <v>374</v>
      </c>
      <c r="G7" s="7">
        <v>1150</v>
      </c>
      <c r="H7" s="7">
        <v>2400</v>
      </c>
      <c r="I7" s="9">
        <f>F7*G7</f>
      </c>
      <c r="J7" s="9">
        <f>F7*H7</f>
      </c>
      <c r="K7" s="7">
        <f>F7*H7</f>
      </c>
      <c r="L7" s="9">
        <f>K7-I7</f>
      </c>
      <c r="M7" s="15">
        <f>IFERROR(L7/K7,"")</f>
      </c>
      <c r="N7" s="15">
        <f>IFERROR(K7/J7,"")</f>
      </c>
      <c r="O7" s="9">
        <f>IFERROR(F7-E7,"")</f>
      </c>
      <c r="P7">
        <f>IF(K7=0,"",IF(OR(M7&lt;0.35,N7&lt;0.8),"Review",IF(OR(M7&lt;0.45,N7&lt;0.9),"Watch","Healthy")))</f>
      </c>
    </row>
    <row r="8" spans="1:16" x14ac:dyDescent="0.25">
      <c r="A8" s="6" t="s">
        <v>69</v>
      </c>
      <c r="B8" s="6" t="s">
        <v>67</v>
      </c>
      <c r="C8" s="6" t="s">
        <v>65</v>
      </c>
      <c r="D8" s="7"/>
      <c r="E8" s="7">
        <v>560</v>
      </c>
      <c r="F8" s="7">
        <v>585</v>
      </c>
      <c r="G8" s="7">
        <v>1100</v>
      </c>
      <c r="H8" s="7">
        <v>2400</v>
      </c>
      <c r="I8" s="9">
        <f>F8*G8</f>
      </c>
      <c r="J8" s="9">
        <f>F8*H8</f>
      </c>
      <c r="K8" s="7">
        <f>F8*H8</f>
      </c>
      <c r="L8" s="9">
        <f>K8-I8</f>
      </c>
      <c r="M8" s="15">
        <f>IFERROR(L8/K8,"")</f>
      </c>
      <c r="N8" s="15">
        <f>IFERROR(K8/J8,"")</f>
      </c>
      <c r="O8" s="9">
        <f>IFERROR(F8-E8,"")</f>
      </c>
      <c r="P8">
        <f>IF(K8=0,"",IF(OR(M8&lt;0.35,N8&lt;0.8),"Review",IF(OR(M8&lt;0.45,N8&lt;0.9),"Watch","Healthy")))</f>
      </c>
    </row>
    <row r="9" spans="1:16" x14ac:dyDescent="0.25">
      <c r="A9" s="6" t="s">
        <v>70</v>
      </c>
      <c r="B9" s="6" t="s">
        <v>71</v>
      </c>
      <c r="C9" s="6" t="s">
        <v>65</v>
      </c>
      <c r="D9" s="7"/>
      <c r="E9" s="7">
        <v>900</v>
      </c>
      <c r="F9" s="7">
        <v>945</v>
      </c>
      <c r="G9" s="7">
        <v>1050</v>
      </c>
      <c r="H9" s="7">
        <v>2200</v>
      </c>
      <c r="I9" s="9">
        <f>F9*G9</f>
      </c>
      <c r="J9" s="9">
        <f>F9*H9</f>
      </c>
      <c r="K9" s="7">
        <f>F9*H9</f>
      </c>
      <c r="L9" s="9">
        <f>K9-I9</f>
      </c>
      <c r="M9" s="15">
        <f>IFERROR(L9/K9,"")</f>
      </c>
      <c r="N9" s="15">
        <f>IFERROR(K9/J9,"")</f>
      </c>
      <c r="O9" s="9">
        <f>IFERROR(F9-E9,"")</f>
      </c>
      <c r="P9">
        <f>IF(K9=0,"",IF(OR(M9&lt;0.35,N9&lt;0.8),"Review",IF(OR(M9&lt;0.45,N9&lt;0.9),"Watch","Healthy")))</f>
      </c>
    </row>
    <row r="10" spans="1:16" x14ac:dyDescent="0.25">
      <c r="A10" s="6" t="s">
        <v>72</v>
      </c>
      <c r="B10" s="6" t="s">
        <v>73</v>
      </c>
      <c r="C10" s="6" t="s">
        <v>74</v>
      </c>
      <c r="D10" s="7">
        <v>1800000</v>
      </c>
      <c r="E10" s="7">
        <v>620</v>
      </c>
      <c r="F10" s="7">
        <v>890</v>
      </c>
      <c r="G10" s="7">
        <v>1200</v>
      </c>
      <c r="H10" s="7">
        <v>2400</v>
      </c>
      <c r="I10" s="9">
        <f>F10*G10</f>
      </c>
      <c r="J10" s="9">
        <f>F10*H10</f>
      </c>
      <c r="K10" s="7">
        <v>1800000</v>
      </c>
      <c r="L10" s="9">
        <f>K10-I10</f>
      </c>
      <c r="M10" s="15">
        <f>IFERROR(L10/K10,"")</f>
      </c>
      <c r="N10" s="15">
        <f>IFERROR(K10/J10,"")</f>
      </c>
      <c r="O10" s="9">
        <f>IFERROR(F10-E10,"")</f>
      </c>
      <c r="P10">
        <f>IF(K10=0,"",IF(OR(M10&lt;0.35,N10&lt;0.8),"Review",IF(OR(M10&lt;0.45,N10&lt;0.9),"Watch","Healthy")))</f>
      </c>
    </row>
    <row r="11" spans="1:16" x14ac:dyDescent="0.25">
      <c r="A11" s="6" t="s">
        <v>75</v>
      </c>
      <c r="B11" s="6" t="s">
        <v>76</v>
      </c>
      <c r="C11" s="6" t="s">
        <v>74</v>
      </c>
      <c r="D11" s="7">
        <v>950000</v>
      </c>
      <c r="E11" s="7">
        <v>300</v>
      </c>
      <c r="F11" s="7">
        <v>400</v>
      </c>
      <c r="G11" s="7">
        <v>1300</v>
      </c>
      <c r="H11" s="7">
        <v>2600</v>
      </c>
      <c r="I11" s="9">
        <f>F11*G11</f>
      </c>
      <c r="J11" s="9">
        <f>F11*H11</f>
      </c>
      <c r="K11" s="7">
        <v>950000</v>
      </c>
      <c r="L11" s="9">
        <f>K11-I11</f>
      </c>
      <c r="M11" s="15">
        <f>IFERROR(L11/K11,"")</f>
      </c>
      <c r="N11" s="15">
        <f>IFERROR(K11/J11,"")</f>
      </c>
      <c r="O11" s="9">
        <f>IFERROR(F11-E11,"")</f>
      </c>
      <c r="P11">
        <f>IF(K11=0,"",IF(OR(M11&lt;0.35,N11&lt;0.8),"Review",IF(OR(M11&lt;0.45,N11&lt;0.9),"Watch","Healthy")))</f>
      </c>
    </row>
    <row r="12" spans="1:16" x14ac:dyDescent="0.25">
      <c r="A12" s="6" t="s">
        <v>77</v>
      </c>
      <c r="B12" s="6" t="s">
        <v>78</v>
      </c>
      <c r="C12" s="6" t="s">
        <v>74</v>
      </c>
      <c r="D12" s="7">
        <v>1250000</v>
      </c>
      <c r="E12" s="7">
        <v>420</v>
      </c>
      <c r="F12" s="7">
        <v>520</v>
      </c>
      <c r="G12" s="7">
        <v>1200</v>
      </c>
      <c r="H12" s="7">
        <v>2400</v>
      </c>
      <c r="I12" s="9">
        <f>F12*G12</f>
      </c>
      <c r="J12" s="9">
        <f>F12*H12</f>
      </c>
      <c r="K12" s="7">
        <v>1250000</v>
      </c>
      <c r="L12" s="9">
        <f>K12-I12</f>
      </c>
      <c r="M12" s="15">
        <f>IFERROR(L12/K12,"")</f>
      </c>
      <c r="N12" s="15">
        <f>IFERROR(K12/J12,"")</f>
      </c>
      <c r="O12" s="9">
        <f>IFERROR(F12-E12,"")</f>
      </c>
      <c r="P12">
        <f>IF(K12=0,"",IF(OR(M12&lt;0.35,N12&lt;0.8),"Review",IF(OR(M12&lt;0.45,N12&lt;0.9),"Watch","Healthy")))</f>
      </c>
    </row>
    <row r="13" spans="1:16" x14ac:dyDescent="0.25">
      <c r="A13" s="6" t="s">
        <v>79</v>
      </c>
      <c r="B13" s="6" t="s">
        <v>80</v>
      </c>
      <c r="C13" s="6" t="s">
        <v>74</v>
      </c>
      <c r="D13" s="7">
        <v>350000</v>
      </c>
      <c r="E13" s="7">
        <v>90</v>
      </c>
      <c r="F13" s="7">
        <v>130</v>
      </c>
      <c r="G13" s="7">
        <v>1600</v>
      </c>
      <c r="H13" s="7">
        <v>3000</v>
      </c>
      <c r="I13" s="9">
        <f>F13*G13</f>
      </c>
      <c r="J13" s="9">
        <f>F13*H13</f>
      </c>
      <c r="K13" s="7">
        <v>350000</v>
      </c>
      <c r="L13" s="9">
        <f>K13-I13</f>
      </c>
      <c r="M13" s="15">
        <f>IFERROR(L13/K13,"")</f>
      </c>
      <c r="N13" s="15">
        <f>IFERROR(K13/J13,"")</f>
      </c>
      <c r="O13" s="9">
        <f>IFERROR(F13-E13,"")</f>
      </c>
      <c r="P13">
        <f>IF(K13=0,"",IF(OR(M13&lt;0.35,N13&lt;0.8),"Review",IF(OR(M13&lt;0.45,N13&lt;0.9),"Watch","Healthy")))</f>
      </c>
    </row>
    <row r="14" spans="1:16" x14ac:dyDescent="0.25">
      <c r="A14" s="6" t="s">
        <v>81</v>
      </c>
      <c r="B14" s="6" t="s">
        <v>82</v>
      </c>
      <c r="C14" s="6" t="s">
        <v>74</v>
      </c>
      <c r="D14" s="7">
        <v>680000</v>
      </c>
      <c r="E14" s="7">
        <v>210</v>
      </c>
      <c r="F14" s="7">
        <v>310</v>
      </c>
      <c r="G14" s="7">
        <v>1150</v>
      </c>
      <c r="H14" s="7">
        <v>2400</v>
      </c>
      <c r="I14" s="9">
        <f>F14*G14</f>
      </c>
      <c r="J14" s="9">
        <f>F14*H14</f>
      </c>
      <c r="K14" s="7">
        <v>680000</v>
      </c>
      <c r="L14" s="9">
        <f>K14-I14</f>
      </c>
      <c r="M14" s="15">
        <f>IFERROR(L14/K14,"")</f>
      </c>
      <c r="N14" s="15">
        <f>IFERROR(K14/J14,"")</f>
      </c>
      <c r="O14" s="9">
        <f>IFERROR(F14-E14,"")</f>
      </c>
      <c r="P14">
        <f>IF(K14=0,"",IF(OR(M14&lt;0.35,N14&lt;0.8),"Review",IF(OR(M14&lt;0.45,N14&lt;0.9),"Watch","Healthy")))</f>
      </c>
    </row>
    <row r="15" spans="1:16" x14ac:dyDescent="0.25">
      <c r="A15" s="6" t="s">
        <v>83</v>
      </c>
      <c r="B15" s="6" t="s">
        <v>84</v>
      </c>
      <c r="C15" s="6" t="s">
        <v>74</v>
      </c>
      <c r="D15" s="7">
        <v>2200000</v>
      </c>
      <c r="E15" s="7">
        <v>780</v>
      </c>
      <c r="F15" s="7">
        <v>1010</v>
      </c>
      <c r="G15" s="7">
        <v>1180</v>
      </c>
      <c r="H15" s="7">
        <v>2400</v>
      </c>
      <c r="I15" s="9">
        <f>F15*G15</f>
      </c>
      <c r="J15" s="9">
        <f>F15*H15</f>
      </c>
      <c r="K15" s="7">
        <v>2200000</v>
      </c>
      <c r="L15" s="9">
        <f>K15-I15</f>
      </c>
      <c r="M15" s="15">
        <f>IFERROR(L15/K15,"")</f>
      </c>
      <c r="N15" s="15">
        <f>IFERROR(K15/J15,"")</f>
      </c>
      <c r="O15" s="9">
        <f>IFERROR(F15-E15,"")</f>
      </c>
      <c r="P15">
        <f>IF(K15=0,"",IF(OR(M15&lt;0.35,N15&lt;0.8),"Review",IF(OR(M15&lt;0.45,N15&lt;0.9),"Watch","Healthy")))</f>
      </c>
    </row>
    <row r="16" spans="1:16" x14ac:dyDescent="0.25">
      <c r="A16" s="6" t="s">
        <v>85</v>
      </c>
      <c r="B16" s="6" t="s">
        <v>86</v>
      </c>
      <c r="C16" s="6" t="s">
        <v>87</v>
      </c>
      <c r="D16" s="7">
        <v>1800000</v>
      </c>
      <c r="E16" s="7">
        <v>700</v>
      </c>
      <c r="F16" s="7">
        <v>960</v>
      </c>
      <c r="G16" s="7">
        <v>1050</v>
      </c>
      <c r="H16" s="7">
        <v>2400</v>
      </c>
      <c r="I16" s="9">
        <f>F16*G16</f>
      </c>
      <c r="J16" s="9">
        <f>F16*H16</f>
      </c>
      <c r="K16" s="7">
        <v>1800000</v>
      </c>
      <c r="L16" s="9">
        <f>K16-I16</f>
      </c>
      <c r="M16" s="15">
        <f>IFERROR(L16/K16,"")</f>
      </c>
      <c r="N16" s="15">
        <f>IFERROR(K16/J16,"")</f>
      </c>
      <c r="O16" s="9">
        <f>IFERROR(F16-E16,"")</f>
      </c>
      <c r="P16">
        <f>IF(K16=0,"",IF(OR(M16&lt;0.35,N16&lt;0.8),"Review",IF(OR(M16&lt;0.45,N16&lt;0.9),"Watch","Healthy")))</f>
      </c>
    </row>
    <row r="17" spans="1:16" x14ac:dyDescent="0.25">
      <c r="A17" s="6" t="s">
        <v>88</v>
      </c>
      <c r="B17" s="6" t="s">
        <v>89</v>
      </c>
      <c r="C17" s="6" t="s">
        <v>87</v>
      </c>
      <c r="D17" s="7">
        <v>1200000</v>
      </c>
      <c r="E17" s="7">
        <v>480</v>
      </c>
      <c r="F17" s="7">
        <v>615</v>
      </c>
      <c r="G17" s="7">
        <v>1150</v>
      </c>
      <c r="H17" s="7">
        <v>2400</v>
      </c>
      <c r="I17" s="9">
        <f>F17*G17</f>
      </c>
      <c r="J17" s="9">
        <f>F17*H17</f>
      </c>
      <c r="K17" s="7">
        <v>1200000</v>
      </c>
      <c r="L17" s="9">
        <f>K17-I17</f>
      </c>
      <c r="M17" s="15">
        <f>IFERROR(L17/K17,"")</f>
      </c>
      <c r="N17" s="15">
        <f>IFERROR(K17/J17,"")</f>
      </c>
      <c r="O17" s="9">
        <f>IFERROR(F17-E17,"")</f>
      </c>
      <c r="P17">
        <f>IF(K17=0,"",IF(OR(M17&lt;0.35,N17&lt;0.8),"Review",IF(OR(M17&lt;0.45,N17&lt;0.9),"Watch","Healthy")))</f>
      </c>
    </row>
    <row r="18" spans="1:16" x14ac:dyDescent="0.25">
      <c r="A18" s="6" t="s">
        <v>90</v>
      </c>
      <c r="B18" s="6" t="s">
        <v>73</v>
      </c>
      <c r="C18" s="6" t="s">
        <v>87</v>
      </c>
      <c r="D18" s="7">
        <v>900000</v>
      </c>
      <c r="E18" s="7">
        <v>380</v>
      </c>
      <c r="F18" s="7">
        <v>500</v>
      </c>
      <c r="G18" s="7">
        <v>1000</v>
      </c>
      <c r="H18" s="7">
        <v>2200</v>
      </c>
      <c r="I18" s="9">
        <f>F18*G18</f>
      </c>
      <c r="J18" s="9">
        <f>F18*H18</f>
      </c>
      <c r="K18" s="7">
        <v>900000</v>
      </c>
      <c r="L18" s="9">
        <f>K18-I18</f>
      </c>
      <c r="M18" s="15">
        <f>IFERROR(L18/K18,"")</f>
      </c>
      <c r="N18" s="15">
        <f>IFERROR(K18/J18,"")</f>
      </c>
      <c r="O18" s="9">
        <f>IFERROR(F18-E18,"")</f>
      </c>
      <c r="P18">
        <f>IF(K18=0,"",IF(OR(M18&lt;0.35,N18&lt;0.8),"Review",IF(OR(M18&lt;0.45,N18&lt;0.9),"Watch","Healthy")))</f>
      </c>
    </row>
    <row r="19" spans="1:16" x14ac:dyDescent="0.25">
      <c r="A19" s="6"/>
      <c r="B19" s="6"/>
      <c r="C19" s="6"/>
      <c r="D19" s="7"/>
      <c r="E19" s="7"/>
      <c r="F19" s="7"/>
      <c r="G19" s="7">
        <f>Rates!$H$13</f>
      </c>
      <c r="H19" s="7">
        <f>Rates!$I$13</f>
      </c>
      <c r="I19" s="9">
        <f>IF(F19="","",F19*G19)</f>
      </c>
      <c r="J19" s="9">
        <f>IF(F19="","",F19*H19)</f>
      </c>
      <c r="K19" s="7"/>
      <c r="L19" s="9">
        <f>IF(K19="","",K19-I19)</f>
      </c>
      <c r="M19" s="15">
        <f>IFERROR(L19/K19,"")</f>
      </c>
      <c r="N19" s="15">
        <f>IFERROR(K19/J19,"")</f>
      </c>
      <c r="O19" s="9">
        <f>IF(OR(E19="",F19=""),"",F19-E19)</f>
      </c>
      <c r="P19">
        <f>IF(N(K19)=0,"",IF(OR(M19&lt;0.35,N19&lt;0.8),"Review",IF(OR(M19&lt;0.45,N19&lt;0.9),"Watch","Healthy")))</f>
      </c>
    </row>
    <row r="20" spans="1:16" x14ac:dyDescent="0.25">
      <c r="A20" s="6"/>
      <c r="B20" s="6"/>
      <c r="C20" s="6"/>
      <c r="D20" s="7"/>
      <c r="E20" s="7"/>
      <c r="F20" s="7"/>
      <c r="G20" s="7">
        <f>Rates!$H$13</f>
      </c>
      <c r="H20" s="7">
        <f>Rates!$I$13</f>
      </c>
      <c r="I20" s="9">
        <f>IF(F20="","",F20*G20)</f>
      </c>
      <c r="J20" s="9">
        <f>IF(F20="","",F20*H20)</f>
      </c>
      <c r="K20" s="7"/>
      <c r="L20" s="9">
        <f>IF(K20="","",K20-I20)</f>
      </c>
      <c r="M20" s="15">
        <f>IFERROR(L20/K20,"")</f>
      </c>
      <c r="N20" s="15">
        <f>IFERROR(K20/J20,"")</f>
      </c>
      <c r="O20" s="9">
        <f>IF(OR(E20="",F20=""),"",F20-E20)</f>
      </c>
      <c r="P20">
        <f>IF(N(K20)=0,"",IF(OR(M20&lt;0.35,N20&lt;0.8),"Review",IF(OR(M20&lt;0.45,N20&lt;0.9),"Watch","Healthy")))</f>
      </c>
    </row>
    <row r="21" spans="1:16" x14ac:dyDescent="0.25">
      <c r="A21" s="6"/>
      <c r="B21" s="6"/>
      <c r="C21" s="6"/>
      <c r="D21" s="7"/>
      <c r="E21" s="7"/>
      <c r="F21" s="7"/>
      <c r="G21" s="7">
        <f>Rates!$H$13</f>
      </c>
      <c r="H21" s="7">
        <f>Rates!$I$13</f>
      </c>
      <c r="I21" s="9">
        <f>IF(F21="","",F21*G21)</f>
      </c>
      <c r="J21" s="9">
        <f>IF(F21="","",F21*H21)</f>
      </c>
      <c r="K21" s="7"/>
      <c r="L21" s="9">
        <f>IF(K21="","",K21-I21)</f>
      </c>
      <c r="M21" s="15">
        <f>IFERROR(L21/K21,"")</f>
      </c>
      <c r="N21" s="15">
        <f>IFERROR(K21/J21,"")</f>
      </c>
      <c r="O21" s="9">
        <f>IF(OR(E21="",F21=""),"",F21-E21)</f>
      </c>
      <c r="P21">
        <f>IF(N(K21)=0,"",IF(OR(M21&lt;0.35,N21&lt;0.8),"Review",IF(OR(M21&lt;0.45,N21&lt;0.9),"Watch","Healthy")))</f>
      </c>
    </row>
    <row r="22" spans="1:16" x14ac:dyDescent="0.25">
      <c r="A22" s="6"/>
      <c r="B22" s="6"/>
      <c r="C22" s="6"/>
      <c r="D22" s="7"/>
      <c r="E22" s="7"/>
      <c r="F22" s="7"/>
      <c r="G22" s="7">
        <f>Rates!$H$13</f>
      </c>
      <c r="H22" s="7">
        <f>Rates!$I$13</f>
      </c>
      <c r="I22" s="9">
        <f>IF(F22="","",F22*G22)</f>
      </c>
      <c r="J22" s="9">
        <f>IF(F22="","",F22*H22)</f>
      </c>
      <c r="K22" s="7"/>
      <c r="L22" s="9">
        <f>IF(K22="","",K22-I22)</f>
      </c>
      <c r="M22" s="15">
        <f>IFERROR(L22/K22,"")</f>
      </c>
      <c r="N22" s="15">
        <f>IFERROR(K22/J22,"")</f>
      </c>
      <c r="O22" s="9">
        <f>IF(OR(E22="",F22=""),"",F22-E22)</f>
      </c>
      <c r="P22">
        <f>IF(N(K22)=0,"",IF(OR(M22&lt;0.35,N22&lt;0.8),"Review",IF(OR(M22&lt;0.45,N22&lt;0.9),"Watch","Healthy")))</f>
      </c>
    </row>
    <row r="23" spans="1:16" x14ac:dyDescent="0.25">
      <c r="A23" s="6"/>
      <c r="B23" s="6"/>
      <c r="C23" s="6"/>
      <c r="D23" s="7"/>
      <c r="E23" s="7"/>
      <c r="F23" s="7"/>
      <c r="G23" s="7">
        <f>Rates!$H$13</f>
      </c>
      <c r="H23" s="7">
        <f>Rates!$I$13</f>
      </c>
      <c r="I23" s="9">
        <f>IF(F23="","",F23*G23)</f>
      </c>
      <c r="J23" s="9">
        <f>IF(F23="","",F23*H23)</f>
      </c>
      <c r="K23" s="7"/>
      <c r="L23" s="9">
        <f>IF(K23="","",K23-I23)</f>
      </c>
      <c r="M23" s="15">
        <f>IFERROR(L23/K23,"")</f>
      </c>
      <c r="N23" s="15">
        <f>IFERROR(K23/J23,"")</f>
      </c>
      <c r="O23" s="9">
        <f>IF(OR(E23="",F23=""),"",F23-E23)</f>
      </c>
      <c r="P23">
        <f>IF(N(K23)=0,"",IF(OR(M23&lt;0.35,N23&lt;0.8),"Review",IF(OR(M23&lt;0.45,N23&lt;0.9),"Watch","Healthy")))</f>
      </c>
    </row>
    <row r="24" spans="1:16" x14ac:dyDescent="0.25">
      <c r="A24" s="6"/>
      <c r="B24" s="6"/>
      <c r="C24" s="6"/>
      <c r="D24" s="7"/>
      <c r="E24" s="7"/>
      <c r="F24" s="7"/>
      <c r="G24" s="7">
        <f>Rates!$H$13</f>
      </c>
      <c r="H24" s="7">
        <f>Rates!$I$13</f>
      </c>
      <c r="I24" s="9">
        <f>IF(F24="","",F24*G24)</f>
      </c>
      <c r="J24" s="9">
        <f>IF(F24="","",F24*H24)</f>
      </c>
      <c r="K24" s="7"/>
      <c r="L24" s="9">
        <f>IF(K24="","",K24-I24)</f>
      </c>
      <c r="M24" s="15">
        <f>IFERROR(L24/K24,"")</f>
      </c>
      <c r="N24" s="15">
        <f>IFERROR(K24/J24,"")</f>
      </c>
      <c r="O24" s="9">
        <f>IF(OR(E24="",F24=""),"",F24-E24)</f>
      </c>
      <c r="P24">
        <f>IF(N(K24)=0,"",IF(OR(M24&lt;0.35,N24&lt;0.8),"Review",IF(OR(M24&lt;0.45,N24&lt;0.9),"Watch","Healthy")))</f>
      </c>
    </row>
    <row r="25" spans="1:16" x14ac:dyDescent="0.25">
      <c r="A25" s="6"/>
      <c r="B25" s="6"/>
      <c r="C25" s="6"/>
      <c r="D25" s="7"/>
      <c r="E25" s="7"/>
      <c r="F25" s="7"/>
      <c r="G25" s="7">
        <f>Rates!$H$13</f>
      </c>
      <c r="H25" s="7">
        <f>Rates!$I$13</f>
      </c>
      <c r="I25" s="9">
        <f>IF(F25="","",F25*G25)</f>
      </c>
      <c r="J25" s="9">
        <f>IF(F25="","",F25*H25)</f>
      </c>
      <c r="K25" s="7"/>
      <c r="L25" s="9">
        <f>IF(K25="","",K25-I25)</f>
      </c>
      <c r="M25" s="15">
        <f>IFERROR(L25/K25,"")</f>
      </c>
      <c r="N25" s="15">
        <f>IFERROR(K25/J25,"")</f>
      </c>
      <c r="O25" s="9">
        <f>IF(OR(E25="",F25=""),"",F25-E25)</f>
      </c>
      <c r="P25">
        <f>IF(N(K25)=0,"",IF(OR(M25&lt;0.35,N25&lt;0.8),"Review",IF(OR(M25&lt;0.45,N25&lt;0.9),"Watch","Healthy")))</f>
      </c>
    </row>
    <row r="26" spans="1:16" x14ac:dyDescent="0.25">
      <c r="A26" s="6"/>
      <c r="B26" s="6"/>
      <c r="C26" s="6"/>
      <c r="D26" s="7"/>
      <c r="E26" s="7"/>
      <c r="F26" s="7"/>
      <c r="G26" s="7">
        <f>Rates!$H$13</f>
      </c>
      <c r="H26" s="7">
        <f>Rates!$I$13</f>
      </c>
      <c r="I26" s="9">
        <f>IF(F26="","",F26*G26)</f>
      </c>
      <c r="J26" s="9">
        <f>IF(F26="","",F26*H26)</f>
      </c>
      <c r="K26" s="7"/>
      <c r="L26" s="9">
        <f>IF(K26="","",K26-I26)</f>
      </c>
      <c r="M26" s="15">
        <f>IFERROR(L26/K26,"")</f>
      </c>
      <c r="N26" s="15">
        <f>IFERROR(K26/J26,"")</f>
      </c>
      <c r="O26" s="9">
        <f>IF(OR(E26="",F26=""),"",F26-E26)</f>
      </c>
      <c r="P26">
        <f>IF(N(K26)=0,"",IF(OR(M26&lt;0.35,N26&lt;0.8),"Review",IF(OR(M26&lt;0.45,N26&lt;0.9),"Watch","Healthy")))</f>
      </c>
    </row>
    <row r="27" spans="1:16" x14ac:dyDescent="0.25">
      <c r="A27" s="11" t="s">
        <v>91</v>
      </c>
      <c r="B27" s="11"/>
      <c r="C27" s="11"/>
      <c r="D27" s="11"/>
      <c r="E27" s="12">
        <f>SUM(E5:E26)</f>
      </c>
      <c r="F27" s="12">
        <f>SUM(F5:F26)</f>
      </c>
      <c r="G27" s="11"/>
      <c r="H27" s="11"/>
      <c r="I27" s="12">
        <f>SUM(I5:I26)</f>
      </c>
      <c r="J27" s="12">
        <f>SUM(J5:J26)</f>
      </c>
      <c r="K27" s="12">
        <f>SUM(K5:K26)</f>
      </c>
      <c r="L27" s="12">
        <f>SUM(L5:L26)</f>
      </c>
      <c r="M27" s="13">
        <f>IFERROR(L27/K27,"")</f>
      </c>
      <c r="N27" s="13">
        <f>IFERROR(K27/J27,"")</f>
      </c>
      <c r="O27" s="12">
        <f>F27-E27</f>
      </c>
      <c r="P27" s="11"/>
    </row>
    <row r="29" spans="1:1" x14ac:dyDescent="0.25">
      <c r="A29" s="4" t="s">
        <v>92</v>
      </c>
    </row>
    <row r="30" spans="1:1" x14ac:dyDescent="0.25">
      <c r="A30" s="4" t="s">
        <v>93</v>
      </c>
    </row>
    <row r="31" spans="1:1" x14ac:dyDescent="0.25">
      <c r="A31" s="4" t="s">
        <v>94</v>
      </c>
    </row>
    <row r="32" spans="1:1" x14ac:dyDescent="0.25">
      <c r="A32" s="4" t="s">
        <v>95</v>
      </c>
    </row>
    <row r="33" spans="1:1" x14ac:dyDescent="0.25">
      <c r="A33" s="4" t="s">
        <v>96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P17"/>
  <sheetViews>
    <sheetView workbookViewId="0" showGridLines="0"/>
  </sheetViews>
  <sheetFormatPr defaultRowHeight="15" outlineLevelRow="0" outlineLevelCol="0" x14ac:dyDescent="55"/>
  <cols>
    <col min="1" max="1" width="22" customWidth="1"/>
    <col min="2" max="13" width="8" customWidth="1"/>
    <col min="14" max="14" width="15" customWidth="1"/>
    <col min="15" max="16" width="13" customWidth="1"/>
  </cols>
  <sheetData>
    <row r="1" spans="1:1" x14ac:dyDescent="0.25">
      <c r="A1" s="1" t="s">
        <v>97</v>
      </c>
    </row>
    <row r="2" spans="1:1" x14ac:dyDescent="0.25">
      <c r="A2" s="2" t="s">
        <v>98</v>
      </c>
    </row>
    <row r="4" ht="30" customHeight="1" spans="1:16" x14ac:dyDescent="0.25">
      <c r="A4" s="5" t="s">
        <v>24</v>
      </c>
      <c r="B4" s="5" t="s">
        <v>99</v>
      </c>
      <c r="C4" s="5" t="s">
        <v>100</v>
      </c>
      <c r="D4" s="5" t="s">
        <v>101</v>
      </c>
      <c r="E4" s="5" t="s">
        <v>102</v>
      </c>
      <c r="F4" s="5" t="s">
        <v>103</v>
      </c>
      <c r="G4" s="5" t="s">
        <v>104</v>
      </c>
      <c r="H4" s="5" t="s">
        <v>105</v>
      </c>
      <c r="I4" s="5" t="s">
        <v>106</v>
      </c>
      <c r="J4" s="5" t="s">
        <v>107</v>
      </c>
      <c r="K4" s="5" t="s">
        <v>108</v>
      </c>
      <c r="L4" s="5" t="s">
        <v>109</v>
      </c>
      <c r="M4" s="5" t="s">
        <v>110</v>
      </c>
      <c r="N4" s="5" t="s">
        <v>111</v>
      </c>
      <c r="O4" s="5" t="s">
        <v>112</v>
      </c>
      <c r="P4" s="5" t="s">
        <v>28</v>
      </c>
    </row>
    <row r="5" spans="1:16" x14ac:dyDescent="0.25">
      <c r="A5">
        <f>Rates!A5</f>
      </c>
      <c r="B5" s="16">
        <v>80</v>
      </c>
      <c r="C5" s="16">
        <v>86</v>
      </c>
      <c r="D5" s="16">
        <v>92</v>
      </c>
      <c r="E5" s="16">
        <v>75</v>
      </c>
      <c r="F5" s="16">
        <v>89</v>
      </c>
      <c r="G5" s="16">
        <v>82</v>
      </c>
      <c r="H5" s="16">
        <v>86</v>
      </c>
      <c r="I5" s="16">
        <v>90</v>
      </c>
      <c r="J5" s="16">
        <v>70</v>
      </c>
      <c r="K5" s="16">
        <v>88</v>
      </c>
      <c r="L5" s="16">
        <v>91</v>
      </c>
      <c r="M5" s="16">
        <v>90</v>
      </c>
      <c r="N5" s="10">
        <f>SUM(B5:M5)</f>
      </c>
      <c r="O5" s="10">
        <f>IFERROR(INDEX(Rates!$D$5:$D$12,MATCH(A5,Rates!$A$5:$A$12,0)),"")</f>
      </c>
      <c r="P5" s="15">
        <f>IFERROR(N5/O5,"")</f>
      </c>
    </row>
    <row r="6" spans="1:16" x14ac:dyDescent="0.25">
      <c r="A6">
        <f>Rates!A6</f>
      </c>
      <c r="B6" s="16">
        <v>94</v>
      </c>
      <c r="C6" s="16">
        <v>102</v>
      </c>
      <c r="D6" s="16">
        <v>108</v>
      </c>
      <c r="E6" s="16">
        <v>88</v>
      </c>
      <c r="F6" s="16">
        <v>105</v>
      </c>
      <c r="G6" s="16">
        <v>97</v>
      </c>
      <c r="H6" s="16">
        <v>101</v>
      </c>
      <c r="I6" s="16">
        <v>106</v>
      </c>
      <c r="J6" s="16">
        <v>82</v>
      </c>
      <c r="K6" s="16">
        <v>104</v>
      </c>
      <c r="L6" s="16">
        <v>107</v>
      </c>
      <c r="M6" s="16">
        <v>106</v>
      </c>
      <c r="N6" s="10">
        <f>SUM(B6:M6)</f>
      </c>
      <c r="O6" s="10">
        <f>IFERROR(INDEX(Rates!$D$5:$D$12,MATCH(A6,Rates!$A$5:$A$12,0)),"")</f>
      </c>
      <c r="P6" s="15">
        <f>IFERROR(N6/O6,"")</f>
      </c>
    </row>
    <row r="7" spans="1:16" x14ac:dyDescent="0.25">
      <c r="A7">
        <f>Rates!A7</f>
      </c>
      <c r="B7" s="16">
        <v>99</v>
      </c>
      <c r="C7" s="16">
        <v>107</v>
      </c>
      <c r="D7" s="16">
        <v>113</v>
      </c>
      <c r="E7" s="16">
        <v>92</v>
      </c>
      <c r="F7" s="16">
        <v>110</v>
      </c>
      <c r="G7" s="16">
        <v>102</v>
      </c>
      <c r="H7" s="16">
        <v>106</v>
      </c>
      <c r="I7" s="16">
        <v>111</v>
      </c>
      <c r="J7" s="16">
        <v>86</v>
      </c>
      <c r="K7" s="16">
        <v>109</v>
      </c>
      <c r="L7" s="16">
        <v>112</v>
      </c>
      <c r="M7" s="16">
        <v>111</v>
      </c>
      <c r="N7" s="10">
        <f>SUM(B7:M7)</f>
      </c>
      <c r="O7" s="10">
        <f>IFERROR(INDEX(Rates!$D$5:$D$12,MATCH(A7,Rates!$A$5:$A$12,0)),"")</f>
      </c>
      <c r="P7" s="15">
        <f>IFERROR(N7/O7,"")</f>
      </c>
    </row>
    <row r="8" spans="1:16" x14ac:dyDescent="0.25">
      <c r="A8">
        <f>Rates!A8</f>
      </c>
      <c r="B8" s="16">
        <v>101</v>
      </c>
      <c r="C8" s="16">
        <v>110</v>
      </c>
      <c r="D8" s="16">
        <v>117</v>
      </c>
      <c r="E8" s="16">
        <v>95</v>
      </c>
      <c r="F8" s="16">
        <v>113</v>
      </c>
      <c r="G8" s="16">
        <v>105</v>
      </c>
      <c r="H8" s="16">
        <v>109</v>
      </c>
      <c r="I8" s="16">
        <v>114</v>
      </c>
      <c r="J8" s="16">
        <v>88</v>
      </c>
      <c r="K8" s="16">
        <v>112</v>
      </c>
      <c r="L8" s="16">
        <v>115</v>
      </c>
      <c r="M8" s="16">
        <v>114</v>
      </c>
      <c r="N8" s="10">
        <f>SUM(B8:M8)</f>
      </c>
      <c r="O8" s="10">
        <f>IFERROR(INDEX(Rates!$D$5:$D$12,MATCH(A8,Rates!$A$5:$A$12,0)),"")</f>
      </c>
      <c r="P8" s="15">
        <f>IFERROR(N8/O8,"")</f>
      </c>
    </row>
    <row r="9" spans="1:16" x14ac:dyDescent="0.25">
      <c r="A9">
        <f>Rates!A9</f>
      </c>
      <c r="B9" s="16">
        <v>104</v>
      </c>
      <c r="C9" s="16">
        <v>113</v>
      </c>
      <c r="D9" s="16">
        <v>120</v>
      </c>
      <c r="E9" s="16">
        <v>98</v>
      </c>
      <c r="F9" s="16">
        <v>117</v>
      </c>
      <c r="G9" s="16">
        <v>108</v>
      </c>
      <c r="H9" s="16">
        <v>112</v>
      </c>
      <c r="I9" s="16">
        <v>118</v>
      </c>
      <c r="J9" s="16">
        <v>91</v>
      </c>
      <c r="K9" s="16">
        <v>115</v>
      </c>
      <c r="L9" s="16">
        <v>119</v>
      </c>
      <c r="M9" s="16">
        <v>118</v>
      </c>
      <c r="N9" s="10">
        <f>SUM(B9:M9)</f>
      </c>
      <c r="O9" s="10">
        <f>IFERROR(INDEX(Rates!$D$5:$D$12,MATCH(A9,Rates!$A$5:$A$12,0)),"")</f>
      </c>
      <c r="P9" s="15">
        <f>IFERROR(N9/O9,"")</f>
      </c>
    </row>
    <row r="10" spans="1:16" x14ac:dyDescent="0.25">
      <c r="A10">
        <f>Rates!A10</f>
      </c>
      <c r="B10" s="16">
        <v>87</v>
      </c>
      <c r="C10" s="16">
        <v>94</v>
      </c>
      <c r="D10" s="16">
        <v>100</v>
      </c>
      <c r="E10" s="16">
        <v>81</v>
      </c>
      <c r="F10" s="16">
        <v>97</v>
      </c>
      <c r="G10" s="16">
        <v>90</v>
      </c>
      <c r="H10" s="16">
        <v>93</v>
      </c>
      <c r="I10" s="16">
        <v>98</v>
      </c>
      <c r="J10" s="16">
        <v>76</v>
      </c>
      <c r="K10" s="16">
        <v>96</v>
      </c>
      <c r="L10" s="16">
        <v>99</v>
      </c>
      <c r="M10" s="16">
        <v>98</v>
      </c>
      <c r="N10" s="10">
        <f>SUM(B10:M10)</f>
      </c>
      <c r="O10" s="10">
        <f>IFERROR(INDEX(Rates!$D$5:$D$12,MATCH(A10,Rates!$A$5:$A$12,0)),"")</f>
      </c>
      <c r="P10" s="15">
        <f>IFERROR(N10/O10,"")</f>
      </c>
    </row>
    <row r="11" spans="1:16" x14ac:dyDescent="0.25">
      <c r="A11">
        <f>Rates!A11</f>
      </c>
      <c r="B11" s="16">
        <v>96</v>
      </c>
      <c r="C11" s="16">
        <v>104</v>
      </c>
      <c r="D11" s="16">
        <v>110</v>
      </c>
      <c r="E11" s="16">
        <v>90</v>
      </c>
      <c r="F11" s="16">
        <v>107</v>
      </c>
      <c r="G11" s="16">
        <v>99</v>
      </c>
      <c r="H11" s="16">
        <v>103</v>
      </c>
      <c r="I11" s="16">
        <v>108</v>
      </c>
      <c r="J11" s="16">
        <v>83</v>
      </c>
      <c r="K11" s="16">
        <v>106</v>
      </c>
      <c r="L11" s="16">
        <v>109</v>
      </c>
      <c r="M11" s="16">
        <v>108</v>
      </c>
      <c r="N11" s="10">
        <f>SUM(B11:M11)</f>
      </c>
      <c r="O11" s="10">
        <f>IFERROR(INDEX(Rates!$D$5:$D$12,MATCH(A11,Rates!$A$5:$A$12,0)),"")</f>
      </c>
      <c r="P11" s="15">
        <f>IFERROR(N11/O11,"")</f>
      </c>
    </row>
    <row r="12" spans="1:16" x14ac:dyDescent="0.25">
      <c r="A12">
        <f>Rates!A12</f>
      </c>
      <c r="B12" s="16">
        <v>84</v>
      </c>
      <c r="C12" s="16">
        <v>91</v>
      </c>
      <c r="D12" s="16">
        <v>97</v>
      </c>
      <c r="E12" s="16">
        <v>79</v>
      </c>
      <c r="F12" s="16">
        <v>94</v>
      </c>
      <c r="G12" s="16">
        <v>87</v>
      </c>
      <c r="H12" s="16">
        <v>90</v>
      </c>
      <c r="I12" s="16">
        <v>95</v>
      </c>
      <c r="J12" s="16">
        <v>73</v>
      </c>
      <c r="K12" s="16">
        <v>93</v>
      </c>
      <c r="L12" s="16">
        <v>96</v>
      </c>
      <c r="M12" s="16">
        <v>95</v>
      </c>
      <c r="N12" s="10">
        <f>SUM(B12:M12)</f>
      </c>
      <c r="O12" s="10">
        <f>IFERROR(INDEX(Rates!$D$5:$D$12,MATCH(A12,Rates!$A$5:$A$12,0)),"")</f>
      </c>
      <c r="P12" s="15">
        <f>IFERROR(N12/O12,"")</f>
      </c>
    </row>
    <row r="13" spans="1:16" x14ac:dyDescent="0.25">
      <c r="A13" s="11" t="s">
        <v>113</v>
      </c>
      <c r="B13" s="14">
        <f>SUM(B5:B12)</f>
      </c>
      <c r="C13" s="14">
        <f>SUM(C5:C12)</f>
      </c>
      <c r="D13" s="14">
        <f>SUM(D5:D12)</f>
      </c>
      <c r="E13" s="14">
        <f>SUM(E5:E12)</f>
      </c>
      <c r="F13" s="14">
        <f>SUM(F5:F12)</f>
      </c>
      <c r="G13" s="14">
        <f>SUM(G5:G12)</f>
      </c>
      <c r="H13" s="14">
        <f>SUM(H5:H12)</f>
      </c>
      <c r="I13" s="14">
        <f>SUM(I5:I12)</f>
      </c>
      <c r="J13" s="14">
        <f>SUM(J5:J12)</f>
      </c>
      <c r="K13" s="14">
        <f>SUM(K5:K12)</f>
      </c>
      <c r="L13" s="14">
        <f>SUM(L5:L12)</f>
      </c>
      <c r="M13" s="14">
        <f>SUM(M5:M12)</f>
      </c>
      <c r="N13" s="14">
        <f>SUM(N5:N12)</f>
      </c>
      <c r="O13" s="14">
        <f>SUM(O5:O12)</f>
      </c>
      <c r="P13" s="13">
        <f>IFERROR(N13/O13,"")</f>
      </c>
    </row>
    <row r="15" spans="1:1" x14ac:dyDescent="0.25">
      <c r="A15" s="4" t="s">
        <v>114</v>
      </c>
    </row>
    <row r="16" spans="1:1" x14ac:dyDescent="0.25">
      <c r="A16" s="4" t="s">
        <v>115</v>
      </c>
    </row>
    <row r="17" spans="1:1" x14ac:dyDescent="0.25">
      <c r="A17" s="4" t="s">
        <v>116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1316"/>
  </sheetPr>
  <dimension ref="A1:C47"/>
  <sheetViews>
    <sheetView workbookViewId="0" showGridLines="0"/>
  </sheetViews>
  <sheetFormatPr defaultRowHeight="15" outlineLevelRow="0" outlineLevelCol="0" x14ac:dyDescent="55"/>
  <cols>
    <col min="1" max="1" width="46" customWidth="1"/>
    <col min="2" max="2" width="20" customWidth="1"/>
    <col min="3" max="3" width="46" customWidth="1"/>
  </cols>
  <sheetData>
    <row r="1" spans="1:1" x14ac:dyDescent="0.25">
      <c r="A1" s="1" t="s">
        <v>117</v>
      </c>
    </row>
    <row r="2" spans="1:1" x14ac:dyDescent="0.25">
      <c r="A2" s="2" t="s">
        <v>118</v>
      </c>
    </row>
    <row r="4" spans="1:3" x14ac:dyDescent="0.25">
      <c r="A4" s="17" t="s">
        <v>119</v>
      </c>
      <c r="B4" s="18"/>
      <c r="C4" s="18"/>
    </row>
    <row r="5" spans="1:3" x14ac:dyDescent="0.25">
      <c r="A5" t="s">
        <v>57</v>
      </c>
      <c r="B5" s="9">
        <f>Projects!K27</f>
      </c>
      <c r="C5" s="19" t="s">
        <v>120</v>
      </c>
    </row>
    <row r="6" spans="1:3" x14ac:dyDescent="0.25">
      <c r="A6" t="s">
        <v>56</v>
      </c>
      <c r="B6" s="9">
        <f>Projects!J27</f>
      </c>
      <c r="C6" s="19" t="s">
        <v>121</v>
      </c>
    </row>
    <row r="7" spans="1:3" x14ac:dyDescent="0.25">
      <c r="A7" t="s">
        <v>60</v>
      </c>
      <c r="B7" s="15">
        <f>IFERROR(B5/B6,"")</f>
      </c>
      <c r="C7" s="19" t="s">
        <v>122</v>
      </c>
    </row>
    <row r="8" spans="1:3" x14ac:dyDescent="0.25">
      <c r="A8" t="s">
        <v>55</v>
      </c>
      <c r="B8" s="9">
        <f>Projects!I27</f>
      </c>
      <c r="C8" s="19" t="s">
        <v>123</v>
      </c>
    </row>
    <row r="9" spans="1:2" x14ac:dyDescent="0.25">
      <c r="A9" t="s">
        <v>124</v>
      </c>
      <c r="B9" s="9">
        <f>B5-B8</f>
      </c>
    </row>
    <row r="10" spans="1:3" x14ac:dyDescent="0.25">
      <c r="A10" t="s">
        <v>125</v>
      </c>
      <c r="B10" s="15">
        <f>IFERROR(B9/B5,"")</f>
      </c>
      <c r="C10" s="19" t="s">
        <v>126</v>
      </c>
    </row>
    <row r="12" spans="1:3" x14ac:dyDescent="0.25">
      <c r="A12" s="17" t="s">
        <v>127</v>
      </c>
      <c r="B12" s="18"/>
      <c r="C12" s="18"/>
    </row>
    <row r="13" spans="1:3" x14ac:dyDescent="0.25">
      <c r="A13" t="s">
        <v>128</v>
      </c>
      <c r="B13" s="8">
        <v>0.25</v>
      </c>
      <c r="C13" s="2" t="s">
        <v>129</v>
      </c>
    </row>
    <row r="14" spans="1:3" x14ac:dyDescent="0.25">
      <c r="A14" t="s">
        <v>130</v>
      </c>
      <c r="B14" s="8">
        <v>0.2</v>
      </c>
      <c r="C14" s="2" t="s">
        <v>131</v>
      </c>
    </row>
    <row r="15" spans="1:2" x14ac:dyDescent="0.25">
      <c r="A15" t="s">
        <v>132</v>
      </c>
      <c r="B15" s="9">
        <f>B5*B13</f>
      </c>
    </row>
    <row r="16" spans="1:2" x14ac:dyDescent="0.25">
      <c r="A16" t="s">
        <v>133</v>
      </c>
      <c r="B16" s="9">
        <f>B9-B15</f>
      </c>
    </row>
    <row r="17" spans="1:3" x14ac:dyDescent="0.25">
      <c r="A17" t="s">
        <v>134</v>
      </c>
      <c r="B17" s="15">
        <f>IFERROR(B16/B5,"")</f>
      </c>
      <c r="C17" s="19" t="s">
        <v>135</v>
      </c>
    </row>
    <row r="19" spans="1:3" x14ac:dyDescent="0.25">
      <c r="A19" s="17" t="s">
        <v>136</v>
      </c>
      <c r="B19" s="18"/>
      <c r="C19" s="18"/>
    </row>
    <row r="20" spans="1:3" x14ac:dyDescent="0.25">
      <c r="A20" t="s">
        <v>137</v>
      </c>
      <c r="B20" s="15">
        <f>Utilisation!P13</f>
      </c>
      <c r="C20" s="19" t="s">
        <v>138</v>
      </c>
    </row>
    <row r="21" spans="1:2" x14ac:dyDescent="0.25">
      <c r="A21" t="s">
        <v>139</v>
      </c>
      <c r="B21" s="10">
        <f>Rates!D13</f>
      </c>
    </row>
    <row r="22" spans="1:2" x14ac:dyDescent="0.25">
      <c r="A22" t="s">
        <v>140</v>
      </c>
      <c r="B22" s="10">
        <f>Utilisation!N13</f>
      </c>
    </row>
    <row r="23" spans="1:2" x14ac:dyDescent="0.25">
      <c r="A23" t="s">
        <v>141</v>
      </c>
      <c r="B23" s="10">
        <f>B21-B22</f>
      </c>
    </row>
    <row r="24" spans="1:3" x14ac:dyDescent="0.25">
      <c r="A24" t="s">
        <v>142</v>
      </c>
      <c r="B24" s="9">
        <f>B23*Rates!F13</f>
      </c>
      <c r="C24" s="19" t="s">
        <v>143</v>
      </c>
    </row>
    <row r="25" spans="1:3" x14ac:dyDescent="0.25">
      <c r="A25" t="s">
        <v>144</v>
      </c>
      <c r="B25" s="9">
        <f>Projects!J27-Projects!K27</f>
      </c>
      <c r="C25" s="19" t="s">
        <v>145</v>
      </c>
    </row>
    <row r="27" spans="1:3" x14ac:dyDescent="0.25">
      <c r="A27" s="17" t="s">
        <v>146</v>
      </c>
      <c r="B27" s="18"/>
      <c r="C27" s="18"/>
    </row>
    <row r="28" spans="1:3" x14ac:dyDescent="0.25">
      <c r="A28" t="s">
        <v>31</v>
      </c>
      <c r="B28" s="9">
        <f>Rates!H13</f>
      </c>
      <c r="C28" s="19" t="s">
        <v>147</v>
      </c>
    </row>
    <row r="29" spans="1:3" x14ac:dyDescent="0.25">
      <c r="A29" t="s">
        <v>148</v>
      </c>
      <c r="B29" s="15">
        <f>1-B13-B14</f>
      </c>
      <c r="C29" s="19" t="s">
        <v>149</v>
      </c>
    </row>
    <row r="30" spans="1:3" x14ac:dyDescent="0.25">
      <c r="A30" t="s">
        <v>150</v>
      </c>
      <c r="B30" s="9">
        <f>IFERROR(B28/B29,"")</f>
      </c>
      <c r="C30" s="19" t="s">
        <v>151</v>
      </c>
    </row>
    <row r="31" spans="1:3" x14ac:dyDescent="0.25">
      <c r="A31" t="s">
        <v>152</v>
      </c>
      <c r="B31" s="9">
        <f>IFERROR(B30/B7,"")</f>
      </c>
      <c r="C31" s="19" t="s">
        <v>153</v>
      </c>
    </row>
    <row r="32" spans="1:3" x14ac:dyDescent="0.25">
      <c r="A32" t="s">
        <v>154</v>
      </c>
      <c r="B32" s="9">
        <f>IFERROR(Projects!J27/Projects!F27,"")</f>
      </c>
      <c r="C32" s="19" t="s">
        <v>155</v>
      </c>
    </row>
    <row r="33" spans="1:3" x14ac:dyDescent="0.25">
      <c r="A33" t="s">
        <v>156</v>
      </c>
      <c r="B33" s="9">
        <f>B32-B31</f>
      </c>
      <c r="C33" s="19" t="s">
        <v>157</v>
      </c>
    </row>
    <row r="35" spans="1:3" x14ac:dyDescent="0.25">
      <c r="A35" s="17" t="s">
        <v>158</v>
      </c>
      <c r="B35" s="18"/>
      <c r="C35" s="18"/>
    </row>
    <row r="36" spans="1:3" x14ac:dyDescent="0.25">
      <c r="A36" t="s">
        <v>159</v>
      </c>
      <c r="B36" s="10">
        <f>Projects!F27</f>
      </c>
      <c r="C36" s="19" t="s">
        <v>160</v>
      </c>
    </row>
    <row r="37" spans="1:3" x14ac:dyDescent="0.25">
      <c r="A37" t="s">
        <v>161</v>
      </c>
      <c r="B37" s="10">
        <f>Utilisation!N13</f>
      </c>
      <c r="C37" s="19" t="s">
        <v>162</v>
      </c>
    </row>
    <row r="38" spans="1:2" x14ac:dyDescent="0.25">
      <c r="A38" t="s">
        <v>163</v>
      </c>
      <c r="B38" s="10">
        <f>B36-B37</f>
      </c>
    </row>
    <row r="39" spans="1:3" x14ac:dyDescent="0.25">
      <c r="A39" t="s">
        <v>164</v>
      </c>
      <c r="B39" s="20">
        <f>IF(ABS(B38)&lt;=0.02*MAX(1,B36),"Ties","Check the two sheets: they disagree")</f>
      </c>
      <c r="C39" s="19" t="s">
        <v>165</v>
      </c>
    </row>
    <row r="41" spans="1:1" x14ac:dyDescent="0.25">
      <c r="A41" s="4" t="s">
        <v>4</v>
      </c>
    </row>
    <row r="42" spans="1:1" x14ac:dyDescent="0.25">
      <c r="A42" s="3" t="s">
        <v>166</v>
      </c>
    </row>
    <row r="43" spans="1:1" x14ac:dyDescent="0.25">
      <c r="A43" s="4" t="s">
        <v>167</v>
      </c>
    </row>
    <row r="44" spans="1:1" x14ac:dyDescent="0.25">
      <c r="A44" s="4" t="s">
        <v>168</v>
      </c>
    </row>
    <row r="45" spans="1:1" x14ac:dyDescent="0.25">
      <c r="A45" s="4" t="s">
        <v>169</v>
      </c>
    </row>
    <row r="46" spans="1:1" x14ac:dyDescent="0.25">
      <c r="A46" s="4" t="s">
        <v>170</v>
      </c>
    </row>
    <row r="47" spans="1:1" x14ac:dyDescent="0.25">
      <c r="A47" s="4" t="s">
        <v>171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Rates</vt:lpstr>
      <vt:lpstr>Projects</vt:lpstr>
      <vt:lpstr>Utilisation</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Simplify (withsimplify.in)</dc:creator>
  <dc:title/>
  <dc:subject/>
  <dc:description/>
  <cp:keywords/>
  <cp:category/>
  <cp:lastModifiedBy>Unknown</cp:lastModifiedBy>
  <dcterms:created xsi:type="dcterms:W3CDTF">2026-09-21T09:00:00Z</dcterms:created>
  <dcterms:modified xsi:type="dcterms:W3CDTF">2026-09-21T16:29:38Z</dcterms:modified>
</cp:coreProperties>
</file>