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 me" state="visible" r:id="rId4"/>
    <sheet sheetId="2" name="Assumptions" state="visible" r:id="rId5"/>
    <sheet sheetId="3" name="Headcount" state="visible" r:id="rId6"/>
    <sheet sheetId="4" name="Other costs" state="visible" r:id="rId7"/>
    <sheet sheetId="5" name="Revenue" state="visible" r:id="rId8"/>
    <sheet sheetId="6" name="P&amp;L" state="visible" r:id="rId9"/>
    <sheet sheetId="7" name="Cash" state="visible" r:id="rId10"/>
    <sheet sheetId="8" name="Summary" state="visible" r:id="rId11"/>
  </sheets>
  <calcPr calcId="171027" fullCalcOnLoad="1"/>
</workbook>
</file>

<file path=xl/sharedStrings.xml><?xml version="1.0" encoding="utf-8"?>
<sst xmlns="http://schemas.openxmlformats.org/spreadsheetml/2006/main" count="291" uniqueCount="165">
  <si>
    <t>Startup financial model</t>
  </si>
  <si>
    <t>Free from Simplify, withsimplify.in/templates/financial-model</t>
  </si>
  <si>
    <t>HOW TO USE IT</t>
  </si>
  <si>
    <t>1. Assumptions: the only sheet you have to fill in. Opening cash, pricing, the drivers for each revenue line, churn, cost percentages, payment days and the loading on top of salary.</t>
  </si>
  <si>
    <t>2. Headcount: list every current person and planned hire with a start month and annual CTC.</t>
  </si>
  <si>
    <t>3. Other costs: monthly costs by category, with a growth rate where they scale.</t>
  </si>
  <si>
    <t>4. Revenue, P&amp;L and Cash calculate themselves across 24 months.</t>
  </si>
  <si>
    <t>5. Summary shows ARR, growth, gross margin, burn, runway and the month cash runs out.</t>
  </si>
  <si>
    <t/>
  </si>
  <si>
    <t>THINGS TO KNOW</t>
  </si>
  <si>
    <t>Amounts are in rupees unless a row says otherwise. Months are numbered M1 to M24; M1 is the first month of your plan.</t>
  </si>
  <si>
    <t>This is a driver-based operating model, not a three-statement model: there is no balance sheet, and tax, depreciation and working capital beyond receivables are left out deliberately.</t>
  </si>
  <si>
    <t>For a fundraise, investors will expect the assumptions to come from your own history. Replace every example figure.</t>
  </si>
  <si>
    <t>Revenue is recognised in the month it is earned. Cash follows it by the payment days you enter.</t>
  </si>
  <si>
    <t>The example is a fictional B2B software company. Delete it.</t>
  </si>
  <si>
    <t>Guide to using this template: withsimplify.in/templates/financial-model</t>
  </si>
  <si>
    <t>Assumptions</t>
  </si>
  <si>
    <t>Shaded cells are inputs. Everything else follows from these.</t>
  </si>
  <si>
    <t>CASH AND TIMING</t>
  </si>
  <si>
    <t>Opening cash at M1</t>
  </si>
  <si>
    <t>Reconciled across all accounts</t>
  </si>
  <si>
    <t>Days customers take to pay</t>
  </si>
  <si>
    <t>Actual behaviour, not invoice terms</t>
  </si>
  <si>
    <t>Monthly revenue before M1</t>
  </si>
  <si>
    <t>Used for receipts in the first months</t>
  </si>
  <si>
    <t>SUBSCRIPTION REVENUE</t>
  </si>
  <si>
    <t>Customers at the start</t>
  </si>
  <si>
    <t>Paying, live customers</t>
  </si>
  <si>
    <t>New customers in M1</t>
  </si>
  <si>
    <t>Grown by the rate below</t>
  </si>
  <si>
    <t>Monthly growth in new customers</t>
  </si>
  <si>
    <t>Compounds</t>
  </si>
  <si>
    <t>Average revenue per customer per month</t>
  </si>
  <si>
    <t>After discounts</t>
  </si>
  <si>
    <t>Price rise from month</t>
  </si>
  <si>
    <t>Month number when the rise applies</t>
  </si>
  <si>
    <t>Size of the price rise</t>
  </si>
  <si>
    <t>Monthly customer churn</t>
  </si>
  <si>
    <t>Share of customers who leave each month</t>
  </si>
  <si>
    <t>Variable cost per customer per month</t>
  </si>
  <si>
    <t>Hosting, usage, payment fees, support</t>
  </si>
  <si>
    <t>SERVICES REVENUE</t>
  </si>
  <si>
    <t>Billable hours in M1</t>
  </si>
  <si>
    <t>Across the delivery team</t>
  </si>
  <si>
    <t>Monthly growth in billable hours</t>
  </si>
  <si>
    <t>Realised rate per hour</t>
  </si>
  <si>
    <t>After discounts and write-offs</t>
  </si>
  <si>
    <t>Direct delivery cost per hour</t>
  </si>
  <si>
    <t>People and subcontractors</t>
  </si>
  <si>
    <t>PEOPLE AND COSTS</t>
  </si>
  <si>
    <t>Costs on top of annual CTC</t>
  </si>
  <si>
    <t>Insurance, equipment, benefits not inside CTC</t>
  </si>
  <si>
    <t>Default monthly growth in other costs</t>
  </si>
  <si>
    <t>Used where a cost line has no rate of its own</t>
  </si>
  <si>
    <t>Headcount plan</t>
  </si>
  <si>
    <t>One row per person or planned hire. Start and end months are numbers: 1 is M1.</t>
  </si>
  <si>
    <t>Role</t>
  </si>
  <si>
    <t>Team</t>
  </si>
  <si>
    <t>Start month</t>
  </si>
  <si>
    <t>End month</t>
  </si>
  <si>
    <t>Annual CTC (₹)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</si>
  <si>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</si>
  <si>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</si>
  <si>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</si>
  <si>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</si>
  <si>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</si>
  <si>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</si>
  <si>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</si>
  <si>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</si>
  <si>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</si>
  <si>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</si>
  <si>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</si>
  <si>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</si>
  <si>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</si>
  <si>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</si>
  <si>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</si>
  <si>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</si>
  <si>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</si>
  <si>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</si>
  <si>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</si>
  <si>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</si>
  <si>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</si>
  <si>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</si>
  <si>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</si>
  <si>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</si>
  <si>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Founder and CEO</t>
  </si>
  <si>
    <t>G&amp;A</t>
  </si>
  <si>
    <t>Co-founder and CTO</t>
  </si>
  <si>
    <t>Engineering</t>
  </si>
  <si>
    <t>Engineering lead</t>
  </si>
  <si>
    <t>Senior engineer</t>
  </si>
  <si>
    <t>Engineer</t>
  </si>
  <si>
    <t>Head of sales</t>
  </si>
  <si>
    <t>Sales</t>
  </si>
  <si>
    <t>Account executive</t>
  </si>
  <si>
    <t>Marketing manager</t>
  </si>
  <si>
    <t>Marketing</t>
  </si>
  <si>
    <t>Customer success manager</t>
  </si>
  <si>
    <t>Operations</t>
  </si>
  <si>
    <t>Delivery consultant</t>
  </si>
  <si>
    <t>Finance and admin manager</t>
  </si>
  <si>
    <t>Planned: senior engineer</t>
  </si>
  <si>
    <t>Planned: account executive</t>
  </si>
  <si>
    <t>Planned: product manager</t>
  </si>
  <si>
    <t>Total people cost</t>
  </si>
  <si>
    <t>Headcount</t>
  </si>
  <si>
    <t>Other costs</t>
  </si>
  <si>
    <t>Monthly, in rupees. Enter M1 and a growth rate, or type over any month.</t>
  </si>
  <si>
    <t>Category</t>
  </si>
  <si>
    <t>Monthly growth</t>
  </si>
  <si>
    <t>Cloud and infrastructure</t>
  </si>
  <si>
    <t>Software and tools</t>
  </si>
  <si>
    <t>Paid marketing</t>
  </si>
  <si>
    <t>Events and travel</t>
  </si>
  <si>
    <t>Rent and office</t>
  </si>
  <si>
    <t>Recruitment</t>
  </si>
  <si>
    <t>CA, legal and audit</t>
  </si>
  <si>
    <t>Equipment</t>
  </si>
  <si>
    <t>Other</t>
  </si>
  <si>
    <t>Total other costs</t>
  </si>
  <si>
    <t>Revenue build</t>
  </si>
  <si>
    <t>Calculated from the assumptions.</t>
  </si>
  <si>
    <t>Line</t>
  </si>
  <si>
    <t>Customers at start of month</t>
  </si>
  <si>
    <t>New customers</t>
  </si>
  <si>
    <t>Customers lost</t>
  </si>
  <si>
    <t>Customers at end</t>
  </si>
  <si>
    <t>Price per customer</t>
  </si>
  <si>
    <t>Subscription revenue</t>
  </si>
  <si>
    <t>Subscription variable cost</t>
  </si>
  <si>
    <t>Billable hours</t>
  </si>
  <si>
    <t>Services revenue</t>
  </si>
  <si>
    <t>Services direct cost</t>
  </si>
  <si>
    <t>Total revenue</t>
  </si>
  <si>
    <t>Total direct and variable cost</t>
  </si>
  <si>
    <t>Gross profit</t>
  </si>
  <si>
    <t>Gross margin</t>
  </si>
  <si>
    <t>ARR at month end</t>
  </si>
  <si>
    <t>Monthly P&amp;L</t>
  </si>
  <si>
    <t>Calculated. Rupees.</t>
  </si>
  <si>
    <t>Revenue</t>
  </si>
  <si>
    <t>Direct and variable costs</t>
  </si>
  <si>
    <t>People costs</t>
  </si>
  <si>
    <t>EBITDA</t>
  </si>
  <si>
    <t>EBITDA margin</t>
  </si>
  <si>
    <t>Cumulative EBITDA</t>
  </si>
  <si>
    <t>Cash</t>
  </si>
  <si>
    <t>Receipts follow revenue by your payment days. Costs are paid in the month.</t>
  </si>
  <si>
    <t>Opening cash</t>
  </si>
  <si>
    <t>Cash received</t>
  </si>
  <si>
    <t>Cash paid</t>
  </si>
  <si>
    <t>Net movement</t>
  </si>
  <si>
    <t>Closing cash</t>
  </si>
  <si>
    <t>Months of cash left at this burn</t>
  </si>
  <si>
    <t>Summary</t>
  </si>
  <si>
    <t>The numbers an investor asks for first.</t>
  </si>
  <si>
    <t>Month 1</t>
  </si>
  <si>
    <t>Month 12</t>
  </si>
  <si>
    <t>Month 24</t>
  </si>
  <si>
    <t>Customers</t>
  </si>
  <si>
    <t>Months of cash left</t>
  </si>
  <si>
    <t>Cumulative EBITDA over 24 months</t>
  </si>
  <si>
    <t>Lowest cash balance in 24 months</t>
  </si>
  <si>
    <t>Does cash go negative?</t>
  </si>
  <si>
    <t>Every figure here is calculated from the Assumptions sheet. Change an assumption and read this page again.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</si>
</sst>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;[Red]-#,##0"/>
    <numFmt numFmtId="165" formatCode="0.0%"/>
    <numFmt numFmtId="166" formatCode="0.0%;[Red]-0.0%"/>
    <numFmt numFmtId="167" formatCode="0.0"/>
  </numFmts>
  <fonts count="8" x14ac:knownFonts="1">
    <font>
      <color theme="1"/>
      <family val="2"/>
      <scheme val="minor"/>
      <sz val="11"/>
      <name val="Calibri"/>
    </font>
    <font>
      <b/>
      <color rgb="FF121316"/>
      <sz val="16"/>
    </font>
    <font>
      <color rgb="FF6B6B6B"/>
      <sz val="10"/>
    </font>
    <font>
      <b/>
    </font>
    <font>
      <b/>
      <color rgb="FF121316"/>
    </font>
    <font>
      <color rgb="FF6B6B6B"/>
    </font>
    <font>
      <b/>
      <color rgb="FFFFFFFF"/>
    </font>
    <font>
      <i/>
      <color rgb="FF6B6B6B"/>
    </font>
  </fonts>
  <fills count="5">
    <fill>
      <patternFill patternType="none"/>
    </fill>
    <fill>
      <patternFill patternType="gray125"/>
    </fill>
    <fill>
      <patternFill patternType="solid">
        <fgColor rgb="FFF2F2EE"/>
      </patternFill>
    </fill>
    <fill>
      <patternFill patternType="solid">
        <fgColor rgb="FFF1F8D0"/>
      </patternFill>
    </fill>
    <fill>
      <patternFill patternType="solid">
        <fgColor rgb="FF1213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2" borderId="0" xfId="0" applyFont="1" applyFill="1"/>
    <xf numFmtId="0" fontId="0" fillId="2" borderId="0" xfId="0" applyFill="1"/>
    <xf numFmtId="164" fontId="0" fillId="3" borderId="0" xfId="0" applyNumberFormat="1" applyFill="1"/>
    <xf numFmtId="0" fontId="5" fillId="0" borderId="0" xfId="0" applyFont="1" applyAlignment="1">
      <alignment wrapText="1"/>
    </xf>
    <xf numFmtId="0" fontId="0" fillId="3" borderId="0" xfId="0" applyFill="1"/>
    <xf numFmtId="165" fontId="0" fillId="3" borderId="0" xfId="0" applyNumberFormat="1" applyFill="1"/>
    <xf numFmtId="0" fontId="6" fillId="4" borderId="0" xfId="0" applyFont="1" applyFill="1" applyAlignment="1">
      <alignment vertical="center" wrapText="1"/>
    </xf>
    <xf numFmtId="164" fontId="0" fillId="0" borderId="0" xfId="0" applyNumberFormat="1"/>
    <xf numFmtId="0" fontId="3" fillId="0" borderId="0" xfId="0" applyFont="1"/>
    <xf numFmtId="164" fontId="3" fillId="0" borderId="0" xfId="0" applyNumberFormat="1" applyFont="1"/>
    <xf numFmtId="3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F850"/>
  </sheetPr>
  <dimension ref="A1:A18"/>
  <sheetViews>
    <sheetView workbookViewId="0" showGridLines="0"/>
  </sheetViews>
  <sheetFormatPr defaultRowHeight="15" outlineLevelRow="0" outlineLevelCol="0" x14ac:dyDescent="55"/>
  <cols>
    <col min="1" max="1" width="11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spans="1:1" x14ac:dyDescent="0.25">
      <c r="A4" s="3" t="s">
        <v>2</v>
      </c>
    </row>
    <row r="5" spans="1:1" x14ac:dyDescent="0.25">
      <c r="A5" s="4" t="s">
        <v>3</v>
      </c>
    </row>
    <row r="6" spans="1:1" x14ac:dyDescent="0.25">
      <c r="A6" s="4" t="s">
        <v>4</v>
      </c>
    </row>
    <row r="7" spans="1:1" x14ac:dyDescent="0.25">
      <c r="A7" s="4" t="s">
        <v>5</v>
      </c>
    </row>
    <row r="8" spans="1:1" x14ac:dyDescent="0.25">
      <c r="A8" s="4" t="s">
        <v>6</v>
      </c>
    </row>
    <row r="9" spans="1:1" x14ac:dyDescent="0.25">
      <c r="A9" s="4" t="s">
        <v>7</v>
      </c>
    </row>
    <row r="10" spans="1:1" x14ac:dyDescent="0.25">
      <c r="A10" s="4" t="s">
        <v>8</v>
      </c>
    </row>
    <row r="11" spans="1:1" x14ac:dyDescent="0.25">
      <c r="A11" s="3" t="s">
        <v>9</v>
      </c>
    </row>
    <row r="12" spans="1:1" x14ac:dyDescent="0.25">
      <c r="A12" s="4" t="s">
        <v>10</v>
      </c>
    </row>
    <row r="13" spans="1:1" x14ac:dyDescent="0.25">
      <c r="A13" s="4" t="s">
        <v>11</v>
      </c>
    </row>
    <row r="14" spans="1:1" x14ac:dyDescent="0.25">
      <c r="A14" s="4" t="s">
        <v>12</v>
      </c>
    </row>
    <row r="15" spans="1:1" x14ac:dyDescent="0.25">
      <c r="A15" s="4" t="s">
        <v>13</v>
      </c>
    </row>
    <row r="16" spans="1:1" x14ac:dyDescent="0.25">
      <c r="A16" s="4" t="s">
        <v>14</v>
      </c>
    </row>
    <row r="17" spans="1:1" x14ac:dyDescent="0.25">
      <c r="A17" s="4" t="s">
        <v>8</v>
      </c>
    </row>
    <row r="18" spans="1:1" x14ac:dyDescent="0.25">
      <c r="A18" s="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C27"/>
  <sheetViews>
    <sheetView workbookViewId="0" showGridLines="0"/>
  </sheetViews>
  <sheetFormatPr defaultRowHeight="15" outlineLevelRow="0" outlineLevelCol="0" x14ac:dyDescent="55"/>
  <cols>
    <col min="1" max="1" width="46" customWidth="1"/>
    <col min="2" max="2" width="16" customWidth="1"/>
    <col min="3" max="3" width="56" customWidth="1"/>
  </cols>
  <sheetData>
    <row r="1" spans="1:1" x14ac:dyDescent="0.25">
      <c r="A1" s="1" t="s">
        <v>16</v>
      </c>
    </row>
    <row r="2" spans="1:1" x14ac:dyDescent="0.25">
      <c r="A2" s="2" t="s">
        <v>17</v>
      </c>
    </row>
    <row r="4" spans="1:3" x14ac:dyDescent="0.25">
      <c r="A4" s="5" t="s">
        <v>18</v>
      </c>
      <c r="B4" s="6"/>
      <c r="C4" s="6"/>
    </row>
    <row r="5" spans="1:3" x14ac:dyDescent="0.25">
      <c r="A5" t="s">
        <v>19</v>
      </c>
      <c r="B5" s="7">
        <v>25000000</v>
      </c>
      <c r="C5" s="8" t="s">
        <v>20</v>
      </c>
    </row>
    <row r="6" spans="1:3" x14ac:dyDescent="0.25">
      <c r="A6" t="s">
        <v>21</v>
      </c>
      <c r="B6" s="9">
        <v>45</v>
      </c>
      <c r="C6" s="8" t="s">
        <v>22</v>
      </c>
    </row>
    <row r="7" spans="1:3" x14ac:dyDescent="0.25">
      <c r="A7" t="s">
        <v>23</v>
      </c>
      <c r="B7" s="7">
        <v>3800000</v>
      </c>
      <c r="C7" s="8" t="s">
        <v>24</v>
      </c>
    </row>
    <row r="9" spans="1:3" x14ac:dyDescent="0.25">
      <c r="A9" s="5" t="s">
        <v>25</v>
      </c>
      <c r="B9" s="6"/>
      <c r="C9" s="6"/>
    </row>
    <row r="10" spans="1:3" x14ac:dyDescent="0.25">
      <c r="A10" t="s">
        <v>26</v>
      </c>
      <c r="B10" s="9">
        <v>210</v>
      </c>
      <c r="C10" s="8" t="s">
        <v>27</v>
      </c>
    </row>
    <row r="11" spans="1:3" x14ac:dyDescent="0.25">
      <c r="A11" t="s">
        <v>28</v>
      </c>
      <c r="B11" s="9">
        <v>16</v>
      </c>
      <c r="C11" s="8" t="s">
        <v>29</v>
      </c>
    </row>
    <row r="12" spans="1:3" x14ac:dyDescent="0.25">
      <c r="A12" t="s">
        <v>30</v>
      </c>
      <c r="B12" s="10">
        <v>0.04</v>
      </c>
      <c r="C12" s="8" t="s">
        <v>31</v>
      </c>
    </row>
    <row r="13" spans="1:3" x14ac:dyDescent="0.25">
      <c r="A13" t="s">
        <v>32</v>
      </c>
      <c r="B13" s="7">
        <v>18000</v>
      </c>
      <c r="C13" s="8" t="s">
        <v>33</v>
      </c>
    </row>
    <row r="14" spans="1:3" x14ac:dyDescent="0.25">
      <c r="A14" t="s">
        <v>34</v>
      </c>
      <c r="B14" s="9">
        <v>13</v>
      </c>
      <c r="C14" s="8" t="s">
        <v>35</v>
      </c>
    </row>
    <row r="15" spans="1:3" x14ac:dyDescent="0.25">
      <c r="A15" t="s">
        <v>36</v>
      </c>
      <c r="B15" s="10">
        <v>0.08</v>
      </c>
      <c r="C15" s="8" t="s">
        <v>8</v>
      </c>
    </row>
    <row r="16" spans="1:3" x14ac:dyDescent="0.25">
      <c r="A16" t="s">
        <v>37</v>
      </c>
      <c r="B16" s="10">
        <v>0.018</v>
      </c>
      <c r="C16" s="8" t="s">
        <v>38</v>
      </c>
    </row>
    <row r="17" spans="1:3" x14ac:dyDescent="0.25">
      <c r="A17" t="s">
        <v>39</v>
      </c>
      <c r="B17" s="7">
        <v>4300</v>
      </c>
      <c r="C17" s="8" t="s">
        <v>40</v>
      </c>
    </row>
    <row r="19" spans="1:3" x14ac:dyDescent="0.25">
      <c r="A19" s="5" t="s">
        <v>41</v>
      </c>
      <c r="B19" s="6"/>
      <c r="C19" s="6"/>
    </row>
    <row r="20" spans="1:3" x14ac:dyDescent="0.25">
      <c r="A20" t="s">
        <v>42</v>
      </c>
      <c r="B20" s="9">
        <v>320</v>
      </c>
      <c r="C20" s="8" t="s">
        <v>43</v>
      </c>
    </row>
    <row r="21" spans="1:3" x14ac:dyDescent="0.25">
      <c r="A21" t="s">
        <v>44</v>
      </c>
      <c r="B21" s="10">
        <v>0.03</v>
      </c>
      <c r="C21" s="8" t="s">
        <v>8</v>
      </c>
    </row>
    <row r="22" spans="1:3" x14ac:dyDescent="0.25">
      <c r="A22" t="s">
        <v>45</v>
      </c>
      <c r="B22" s="7">
        <v>2400</v>
      </c>
      <c r="C22" s="8" t="s">
        <v>46</v>
      </c>
    </row>
    <row r="23" spans="1:3" x14ac:dyDescent="0.25">
      <c r="A23" t="s">
        <v>47</v>
      </c>
      <c r="B23" s="7">
        <v>1300</v>
      </c>
      <c r="C23" s="8" t="s">
        <v>48</v>
      </c>
    </row>
    <row r="25" spans="1:3" x14ac:dyDescent="0.25">
      <c r="A25" s="5" t="s">
        <v>49</v>
      </c>
      <c r="B25" s="6"/>
      <c r="C25" s="6"/>
    </row>
    <row r="26" spans="1:3" x14ac:dyDescent="0.25">
      <c r="A26" t="s">
        <v>50</v>
      </c>
      <c r="B26" s="10">
        <v>0.05</v>
      </c>
      <c r="C26" s="8" t="s">
        <v>51</v>
      </c>
    </row>
    <row r="27" spans="1:3" x14ac:dyDescent="0.25">
      <c r="A27" t="s">
        <v>52</v>
      </c>
      <c r="B27" s="10">
        <v>0.02</v>
      </c>
      <c r="C27" s="8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AC47"/>
  <sheetViews>
    <sheetView workbookViewId="0" showGridLines="0">
      <pane xSplit="5" ySplit="4" topLeftCell="F5" activePane="bottomRight" state="frozen"/>
      <selection pane="bottomRight"/>
    </sheetView>
  </sheetViews>
  <sheetFormatPr defaultRowHeight="15" outlineLevelRow="0" outlineLevelCol="0" x14ac:dyDescent="55"/>
  <cols>
    <col min="1" max="1" width="30" customWidth="1"/>
    <col min="2" max="2" width="16" customWidth="1"/>
    <col min="3" max="4" width="12" customWidth="1"/>
    <col min="5" max="5" width="14" customWidth="1"/>
  </cols>
  <sheetData>
    <row r="1" spans="1:1" x14ac:dyDescent="0.25">
      <c r="A1" s="1" t="s">
        <v>54</v>
      </c>
    </row>
    <row r="2" spans="1:1" x14ac:dyDescent="0.25">
      <c r="A2" s="2" t="s">
        <v>55</v>
      </c>
    </row>
    <row r="4" ht="22" customHeight="1" spans="1:29" x14ac:dyDescent="0.25">
      <c r="A4" s="11" t="s">
        <v>56</v>
      </c>
      <c r="B4" s="11" t="s">
        <v>57</v>
      </c>
      <c r="C4" s="11" t="s">
        <v>58</v>
      </c>
      <c r="D4" s="11" t="s">
        <v>59</v>
      </c>
      <c r="E4" s="11" t="s">
        <v>60</v>
      </c>
      <c r="F4" s="11" t="s">
        <v>61</v>
      </c>
      <c r="G4" s="11" t="s">
        <v>62</v>
      </c>
      <c r="H4" s="11" t="s">
        <v>63</v>
      </c>
      <c r="I4" s="11" t="s">
        <v>64</v>
      </c>
      <c r="J4" s="11" t="s">
        <v>65</v>
      </c>
      <c r="K4" s="11" t="s">
        <v>66</v>
      </c>
      <c r="L4" s="11" t="s">
        <v>67</v>
      </c>
      <c r="M4" s="11" t="s">
        <v>68</v>
      </c>
      <c r="N4" s="11" t="s">
        <v>69</v>
      </c>
      <c r="O4" s="11" t="s">
        <v>70</v>
      </c>
      <c r="P4" s="11" t="s">
        <v>71</v>
      </c>
      <c r="Q4" s="11" t="s">
        <v>72</v>
      </c>
      <c r="R4" s="11" t="s">
        <v>73</v>
      </c>
      <c r="S4" s="11" t="s">
        <v>74</v>
      </c>
      <c r="T4" s="11" t="s">
        <v>75</v>
      </c>
      <c r="U4" s="11" t="s">
        <v>76</v>
      </c>
      <c r="V4" s="11" t="s">
        <v>77</v>
      </c>
      <c r="W4" s="11" t="s">
        <v>78</v>
      </c>
      <c r="X4" s="11" t="s">
        <v>79</v>
      </c>
      <c r="Y4" s="11" t="s">
        <v>80</v>
      </c>
      <c r="Z4" s="11" t="s">
        <v>81</v>
      </c>
      <c r="AA4" s="11" t="s">
        <v>82</v>
      </c>
      <c r="AB4" s="11" t="s">
        <v>83</v>
      </c>
      <c r="AC4" s="11" t="s">
        <v>84</v>
      </c>
    </row>
    <row r="5" spans="1:29" x14ac:dyDescent="0.25">
      <c r="A5" s="9" t="s">
        <v>85</v>
      </c>
      <c r="B5" s="9" t="s">
        <v>86</v>
      </c>
      <c r="C5" s="9">
        <v>1</v>
      </c>
      <c r="D5" s="9"/>
      <c r="E5" s="7">
        <v>3600000</v>
      </c>
      <c r="F5" s="12">
        <f>IF(OR($A5="",$E5="",$C5=""),0,IF(AND(1&gt;=$C5,OR($D5="",1&lt;=$D5)),$E5/12*(1+Assumptions!$B$26),0))</f>
      </c>
      <c r="G5" s="12">
        <f>IF(OR($A5="",$E5="",$C5=""),0,IF(AND(2&gt;=$C5,OR($D5="",2&lt;=$D5)),$E5/12*(1+Assumptions!$B$26),0))</f>
      </c>
      <c r="H5" s="12">
        <f>IF(OR($A5="",$E5="",$C5=""),0,IF(AND(3&gt;=$C5,OR($D5="",3&lt;=$D5)),$E5/12*(1+Assumptions!$B$26),0))</f>
      </c>
      <c r="I5" s="12">
        <f>IF(OR($A5="",$E5="",$C5=""),0,IF(AND(4&gt;=$C5,OR($D5="",4&lt;=$D5)),$E5/12*(1+Assumptions!$B$26),0))</f>
      </c>
      <c r="J5" s="12">
        <f>IF(OR($A5="",$E5="",$C5=""),0,IF(AND(5&gt;=$C5,OR($D5="",5&lt;=$D5)),$E5/12*(1+Assumptions!$B$26),0))</f>
      </c>
      <c r="K5" s="12">
        <f>IF(OR($A5="",$E5="",$C5=""),0,IF(AND(6&gt;=$C5,OR($D5="",6&lt;=$D5)),$E5/12*(1+Assumptions!$B$26),0))</f>
      </c>
      <c r="L5" s="12">
        <f>IF(OR($A5="",$E5="",$C5=""),0,IF(AND(7&gt;=$C5,OR($D5="",7&lt;=$D5)),$E5/12*(1+Assumptions!$B$26),0))</f>
      </c>
      <c r="M5" s="12">
        <f>IF(OR($A5="",$E5="",$C5=""),0,IF(AND(8&gt;=$C5,OR($D5="",8&lt;=$D5)),$E5/12*(1+Assumptions!$B$26),0))</f>
      </c>
      <c r="N5" s="12">
        <f>IF(OR($A5="",$E5="",$C5=""),0,IF(AND(9&gt;=$C5,OR($D5="",9&lt;=$D5)),$E5/12*(1+Assumptions!$B$26),0))</f>
      </c>
      <c r="O5" s="12">
        <f>IF(OR($A5="",$E5="",$C5=""),0,IF(AND(10&gt;=$C5,OR($D5="",10&lt;=$D5)),$E5/12*(1+Assumptions!$B$26),0))</f>
      </c>
      <c r="P5" s="12">
        <f>IF(OR($A5="",$E5="",$C5=""),0,IF(AND(11&gt;=$C5,OR($D5="",11&lt;=$D5)),$E5/12*(1+Assumptions!$B$26),0))</f>
      </c>
      <c r="Q5" s="12">
        <f>IF(OR($A5="",$E5="",$C5=""),0,IF(AND(12&gt;=$C5,OR($D5="",12&lt;=$D5)),$E5/12*(1+Assumptions!$B$26),0))</f>
      </c>
      <c r="R5" s="12">
        <f>IF(OR($A5="",$E5="",$C5=""),0,IF(AND(13&gt;=$C5,OR($D5="",13&lt;=$D5)),$E5/12*(1+Assumptions!$B$26),0))</f>
      </c>
      <c r="S5" s="12">
        <f>IF(OR($A5="",$E5="",$C5=""),0,IF(AND(14&gt;=$C5,OR($D5="",14&lt;=$D5)),$E5/12*(1+Assumptions!$B$26),0))</f>
      </c>
      <c r="T5" s="12">
        <f>IF(OR($A5="",$E5="",$C5=""),0,IF(AND(15&gt;=$C5,OR($D5="",15&lt;=$D5)),$E5/12*(1+Assumptions!$B$26),0))</f>
      </c>
      <c r="U5" s="12">
        <f>IF(OR($A5="",$E5="",$C5=""),0,IF(AND(16&gt;=$C5,OR($D5="",16&lt;=$D5)),$E5/12*(1+Assumptions!$B$26),0))</f>
      </c>
      <c r="V5" s="12">
        <f>IF(OR($A5="",$E5="",$C5=""),0,IF(AND(17&gt;=$C5,OR($D5="",17&lt;=$D5)),$E5/12*(1+Assumptions!$B$26),0))</f>
      </c>
      <c r="W5" s="12">
        <f>IF(OR($A5="",$E5="",$C5=""),0,IF(AND(18&gt;=$C5,OR($D5="",18&lt;=$D5)),$E5/12*(1+Assumptions!$B$26),0))</f>
      </c>
      <c r="X5" s="12">
        <f>IF(OR($A5="",$E5="",$C5=""),0,IF(AND(19&gt;=$C5,OR($D5="",19&lt;=$D5)),$E5/12*(1+Assumptions!$B$26),0))</f>
      </c>
      <c r="Y5" s="12">
        <f>IF(OR($A5="",$E5="",$C5=""),0,IF(AND(20&gt;=$C5,OR($D5="",20&lt;=$D5)),$E5/12*(1+Assumptions!$B$26),0))</f>
      </c>
      <c r="Z5" s="12">
        <f>IF(OR($A5="",$E5="",$C5=""),0,IF(AND(21&gt;=$C5,OR($D5="",21&lt;=$D5)),$E5/12*(1+Assumptions!$B$26),0))</f>
      </c>
      <c r="AA5" s="12">
        <f>IF(OR($A5="",$E5="",$C5=""),0,IF(AND(22&gt;=$C5,OR($D5="",22&lt;=$D5)),$E5/12*(1+Assumptions!$B$26),0))</f>
      </c>
      <c r="AB5" s="12">
        <f>IF(OR($A5="",$E5="",$C5=""),0,IF(AND(23&gt;=$C5,OR($D5="",23&lt;=$D5)),$E5/12*(1+Assumptions!$B$26),0))</f>
      </c>
      <c r="AC5" s="12">
        <f>IF(OR($A5="",$E5="",$C5=""),0,IF(AND(24&gt;=$C5,OR($D5="",24&lt;=$D5)),$E5/12*(1+Assumptions!$B$26),0))</f>
      </c>
    </row>
    <row r="6" spans="1:29" x14ac:dyDescent="0.25">
      <c r="A6" s="9" t="s">
        <v>87</v>
      </c>
      <c r="B6" s="9" t="s">
        <v>88</v>
      </c>
      <c r="C6" s="9">
        <v>1</v>
      </c>
      <c r="D6" s="9"/>
      <c r="E6" s="7">
        <v>3600000</v>
      </c>
      <c r="F6" s="12">
        <f>IF(OR($A6="",$E6="",$C6=""),0,IF(AND(1&gt;=$C6,OR($D6="",1&lt;=$D6)),$E6/12*(1+Assumptions!$B$26),0))</f>
      </c>
      <c r="G6" s="12">
        <f>IF(OR($A6="",$E6="",$C6=""),0,IF(AND(2&gt;=$C6,OR($D6="",2&lt;=$D6)),$E6/12*(1+Assumptions!$B$26),0))</f>
      </c>
      <c r="H6" s="12">
        <f>IF(OR($A6="",$E6="",$C6=""),0,IF(AND(3&gt;=$C6,OR($D6="",3&lt;=$D6)),$E6/12*(1+Assumptions!$B$26),0))</f>
      </c>
      <c r="I6" s="12">
        <f>IF(OR($A6="",$E6="",$C6=""),0,IF(AND(4&gt;=$C6,OR($D6="",4&lt;=$D6)),$E6/12*(1+Assumptions!$B$26),0))</f>
      </c>
      <c r="J6" s="12">
        <f>IF(OR($A6="",$E6="",$C6=""),0,IF(AND(5&gt;=$C6,OR($D6="",5&lt;=$D6)),$E6/12*(1+Assumptions!$B$26),0))</f>
      </c>
      <c r="K6" s="12">
        <f>IF(OR($A6="",$E6="",$C6=""),0,IF(AND(6&gt;=$C6,OR($D6="",6&lt;=$D6)),$E6/12*(1+Assumptions!$B$26),0))</f>
      </c>
      <c r="L6" s="12">
        <f>IF(OR($A6="",$E6="",$C6=""),0,IF(AND(7&gt;=$C6,OR($D6="",7&lt;=$D6)),$E6/12*(1+Assumptions!$B$26),0))</f>
      </c>
      <c r="M6" s="12">
        <f>IF(OR($A6="",$E6="",$C6=""),0,IF(AND(8&gt;=$C6,OR($D6="",8&lt;=$D6)),$E6/12*(1+Assumptions!$B$26),0))</f>
      </c>
      <c r="N6" s="12">
        <f>IF(OR($A6="",$E6="",$C6=""),0,IF(AND(9&gt;=$C6,OR($D6="",9&lt;=$D6)),$E6/12*(1+Assumptions!$B$26),0))</f>
      </c>
      <c r="O6" s="12">
        <f>IF(OR($A6="",$E6="",$C6=""),0,IF(AND(10&gt;=$C6,OR($D6="",10&lt;=$D6)),$E6/12*(1+Assumptions!$B$26),0))</f>
      </c>
      <c r="P6" s="12">
        <f>IF(OR($A6="",$E6="",$C6=""),0,IF(AND(11&gt;=$C6,OR($D6="",11&lt;=$D6)),$E6/12*(1+Assumptions!$B$26),0))</f>
      </c>
      <c r="Q6" s="12">
        <f>IF(OR($A6="",$E6="",$C6=""),0,IF(AND(12&gt;=$C6,OR($D6="",12&lt;=$D6)),$E6/12*(1+Assumptions!$B$26),0))</f>
      </c>
      <c r="R6" s="12">
        <f>IF(OR($A6="",$E6="",$C6=""),0,IF(AND(13&gt;=$C6,OR($D6="",13&lt;=$D6)),$E6/12*(1+Assumptions!$B$26),0))</f>
      </c>
      <c r="S6" s="12">
        <f>IF(OR($A6="",$E6="",$C6=""),0,IF(AND(14&gt;=$C6,OR($D6="",14&lt;=$D6)),$E6/12*(1+Assumptions!$B$26),0))</f>
      </c>
      <c r="T6" s="12">
        <f>IF(OR($A6="",$E6="",$C6=""),0,IF(AND(15&gt;=$C6,OR($D6="",15&lt;=$D6)),$E6/12*(1+Assumptions!$B$26),0))</f>
      </c>
      <c r="U6" s="12">
        <f>IF(OR($A6="",$E6="",$C6=""),0,IF(AND(16&gt;=$C6,OR($D6="",16&lt;=$D6)),$E6/12*(1+Assumptions!$B$26),0))</f>
      </c>
      <c r="V6" s="12">
        <f>IF(OR($A6="",$E6="",$C6=""),0,IF(AND(17&gt;=$C6,OR($D6="",17&lt;=$D6)),$E6/12*(1+Assumptions!$B$26),0))</f>
      </c>
      <c r="W6" s="12">
        <f>IF(OR($A6="",$E6="",$C6=""),0,IF(AND(18&gt;=$C6,OR($D6="",18&lt;=$D6)),$E6/12*(1+Assumptions!$B$26),0))</f>
      </c>
      <c r="X6" s="12">
        <f>IF(OR($A6="",$E6="",$C6=""),0,IF(AND(19&gt;=$C6,OR($D6="",19&lt;=$D6)),$E6/12*(1+Assumptions!$B$26),0))</f>
      </c>
      <c r="Y6" s="12">
        <f>IF(OR($A6="",$E6="",$C6=""),0,IF(AND(20&gt;=$C6,OR($D6="",20&lt;=$D6)),$E6/12*(1+Assumptions!$B$26),0))</f>
      </c>
      <c r="Z6" s="12">
        <f>IF(OR($A6="",$E6="",$C6=""),0,IF(AND(21&gt;=$C6,OR($D6="",21&lt;=$D6)),$E6/12*(1+Assumptions!$B$26),0))</f>
      </c>
      <c r="AA6" s="12">
        <f>IF(OR($A6="",$E6="",$C6=""),0,IF(AND(22&gt;=$C6,OR($D6="",22&lt;=$D6)),$E6/12*(1+Assumptions!$B$26),0))</f>
      </c>
      <c r="AB6" s="12">
        <f>IF(OR($A6="",$E6="",$C6=""),0,IF(AND(23&gt;=$C6,OR($D6="",23&lt;=$D6)),$E6/12*(1+Assumptions!$B$26),0))</f>
      </c>
      <c r="AC6" s="12">
        <f>IF(OR($A6="",$E6="",$C6=""),0,IF(AND(24&gt;=$C6,OR($D6="",24&lt;=$D6)),$E6/12*(1+Assumptions!$B$26),0))</f>
      </c>
    </row>
    <row r="7" spans="1:29" x14ac:dyDescent="0.25">
      <c r="A7" s="9" t="s">
        <v>89</v>
      </c>
      <c r="B7" s="9" t="s">
        <v>88</v>
      </c>
      <c r="C7" s="9">
        <v>1</v>
      </c>
      <c r="D7" s="9"/>
      <c r="E7" s="7">
        <v>4200000</v>
      </c>
      <c r="F7" s="12">
        <f>IF(OR($A7="",$E7="",$C7=""),0,IF(AND(1&gt;=$C7,OR($D7="",1&lt;=$D7)),$E7/12*(1+Assumptions!$B$26),0))</f>
      </c>
      <c r="G7" s="12">
        <f>IF(OR($A7="",$E7="",$C7=""),0,IF(AND(2&gt;=$C7,OR($D7="",2&lt;=$D7)),$E7/12*(1+Assumptions!$B$26),0))</f>
      </c>
      <c r="H7" s="12">
        <f>IF(OR($A7="",$E7="",$C7=""),0,IF(AND(3&gt;=$C7,OR($D7="",3&lt;=$D7)),$E7/12*(1+Assumptions!$B$26),0))</f>
      </c>
      <c r="I7" s="12">
        <f>IF(OR($A7="",$E7="",$C7=""),0,IF(AND(4&gt;=$C7,OR($D7="",4&lt;=$D7)),$E7/12*(1+Assumptions!$B$26),0))</f>
      </c>
      <c r="J7" s="12">
        <f>IF(OR($A7="",$E7="",$C7=""),0,IF(AND(5&gt;=$C7,OR($D7="",5&lt;=$D7)),$E7/12*(1+Assumptions!$B$26),0))</f>
      </c>
      <c r="K7" s="12">
        <f>IF(OR($A7="",$E7="",$C7=""),0,IF(AND(6&gt;=$C7,OR($D7="",6&lt;=$D7)),$E7/12*(1+Assumptions!$B$26),0))</f>
      </c>
      <c r="L7" s="12">
        <f>IF(OR($A7="",$E7="",$C7=""),0,IF(AND(7&gt;=$C7,OR($D7="",7&lt;=$D7)),$E7/12*(1+Assumptions!$B$26),0))</f>
      </c>
      <c r="M7" s="12">
        <f>IF(OR($A7="",$E7="",$C7=""),0,IF(AND(8&gt;=$C7,OR($D7="",8&lt;=$D7)),$E7/12*(1+Assumptions!$B$26),0))</f>
      </c>
      <c r="N7" s="12">
        <f>IF(OR($A7="",$E7="",$C7=""),0,IF(AND(9&gt;=$C7,OR($D7="",9&lt;=$D7)),$E7/12*(1+Assumptions!$B$26),0))</f>
      </c>
      <c r="O7" s="12">
        <f>IF(OR($A7="",$E7="",$C7=""),0,IF(AND(10&gt;=$C7,OR($D7="",10&lt;=$D7)),$E7/12*(1+Assumptions!$B$26),0))</f>
      </c>
      <c r="P7" s="12">
        <f>IF(OR($A7="",$E7="",$C7=""),0,IF(AND(11&gt;=$C7,OR($D7="",11&lt;=$D7)),$E7/12*(1+Assumptions!$B$26),0))</f>
      </c>
      <c r="Q7" s="12">
        <f>IF(OR($A7="",$E7="",$C7=""),0,IF(AND(12&gt;=$C7,OR($D7="",12&lt;=$D7)),$E7/12*(1+Assumptions!$B$26),0))</f>
      </c>
      <c r="R7" s="12">
        <f>IF(OR($A7="",$E7="",$C7=""),0,IF(AND(13&gt;=$C7,OR($D7="",13&lt;=$D7)),$E7/12*(1+Assumptions!$B$26),0))</f>
      </c>
      <c r="S7" s="12">
        <f>IF(OR($A7="",$E7="",$C7=""),0,IF(AND(14&gt;=$C7,OR($D7="",14&lt;=$D7)),$E7/12*(1+Assumptions!$B$26),0))</f>
      </c>
      <c r="T7" s="12">
        <f>IF(OR($A7="",$E7="",$C7=""),0,IF(AND(15&gt;=$C7,OR($D7="",15&lt;=$D7)),$E7/12*(1+Assumptions!$B$26),0))</f>
      </c>
      <c r="U7" s="12">
        <f>IF(OR($A7="",$E7="",$C7=""),0,IF(AND(16&gt;=$C7,OR($D7="",16&lt;=$D7)),$E7/12*(1+Assumptions!$B$26),0))</f>
      </c>
      <c r="V7" s="12">
        <f>IF(OR($A7="",$E7="",$C7=""),0,IF(AND(17&gt;=$C7,OR($D7="",17&lt;=$D7)),$E7/12*(1+Assumptions!$B$26),0))</f>
      </c>
      <c r="W7" s="12">
        <f>IF(OR($A7="",$E7="",$C7=""),0,IF(AND(18&gt;=$C7,OR($D7="",18&lt;=$D7)),$E7/12*(1+Assumptions!$B$26),0))</f>
      </c>
      <c r="X7" s="12">
        <f>IF(OR($A7="",$E7="",$C7=""),0,IF(AND(19&gt;=$C7,OR($D7="",19&lt;=$D7)),$E7/12*(1+Assumptions!$B$26),0))</f>
      </c>
      <c r="Y7" s="12">
        <f>IF(OR($A7="",$E7="",$C7=""),0,IF(AND(20&gt;=$C7,OR($D7="",20&lt;=$D7)),$E7/12*(1+Assumptions!$B$26),0))</f>
      </c>
      <c r="Z7" s="12">
        <f>IF(OR($A7="",$E7="",$C7=""),0,IF(AND(21&gt;=$C7,OR($D7="",21&lt;=$D7)),$E7/12*(1+Assumptions!$B$26),0))</f>
      </c>
      <c r="AA7" s="12">
        <f>IF(OR($A7="",$E7="",$C7=""),0,IF(AND(22&gt;=$C7,OR($D7="",22&lt;=$D7)),$E7/12*(1+Assumptions!$B$26),0))</f>
      </c>
      <c r="AB7" s="12">
        <f>IF(OR($A7="",$E7="",$C7=""),0,IF(AND(23&gt;=$C7,OR($D7="",23&lt;=$D7)),$E7/12*(1+Assumptions!$B$26),0))</f>
      </c>
      <c r="AC7" s="12">
        <f>IF(OR($A7="",$E7="",$C7=""),0,IF(AND(24&gt;=$C7,OR($D7="",24&lt;=$D7)),$E7/12*(1+Assumptions!$B$26),0))</f>
      </c>
    </row>
    <row r="8" spans="1:29" x14ac:dyDescent="0.25">
      <c r="A8" s="9" t="s">
        <v>90</v>
      </c>
      <c r="B8" s="9" t="s">
        <v>88</v>
      </c>
      <c r="C8" s="9">
        <v>1</v>
      </c>
      <c r="D8" s="9"/>
      <c r="E8" s="7">
        <v>2800000</v>
      </c>
      <c r="F8" s="12">
        <f>IF(OR($A8="",$E8="",$C8=""),0,IF(AND(1&gt;=$C8,OR($D8="",1&lt;=$D8)),$E8/12*(1+Assumptions!$B$26),0))</f>
      </c>
      <c r="G8" s="12">
        <f>IF(OR($A8="",$E8="",$C8=""),0,IF(AND(2&gt;=$C8,OR($D8="",2&lt;=$D8)),$E8/12*(1+Assumptions!$B$26),0))</f>
      </c>
      <c r="H8" s="12">
        <f>IF(OR($A8="",$E8="",$C8=""),0,IF(AND(3&gt;=$C8,OR($D8="",3&lt;=$D8)),$E8/12*(1+Assumptions!$B$26),0))</f>
      </c>
      <c r="I8" s="12">
        <f>IF(OR($A8="",$E8="",$C8=""),0,IF(AND(4&gt;=$C8,OR($D8="",4&lt;=$D8)),$E8/12*(1+Assumptions!$B$26),0))</f>
      </c>
      <c r="J8" s="12">
        <f>IF(OR($A8="",$E8="",$C8=""),0,IF(AND(5&gt;=$C8,OR($D8="",5&lt;=$D8)),$E8/12*(1+Assumptions!$B$26),0))</f>
      </c>
      <c r="K8" s="12">
        <f>IF(OR($A8="",$E8="",$C8=""),0,IF(AND(6&gt;=$C8,OR($D8="",6&lt;=$D8)),$E8/12*(1+Assumptions!$B$26),0))</f>
      </c>
      <c r="L8" s="12">
        <f>IF(OR($A8="",$E8="",$C8=""),0,IF(AND(7&gt;=$C8,OR($D8="",7&lt;=$D8)),$E8/12*(1+Assumptions!$B$26),0))</f>
      </c>
      <c r="M8" s="12">
        <f>IF(OR($A8="",$E8="",$C8=""),0,IF(AND(8&gt;=$C8,OR($D8="",8&lt;=$D8)),$E8/12*(1+Assumptions!$B$26),0))</f>
      </c>
      <c r="N8" s="12">
        <f>IF(OR($A8="",$E8="",$C8=""),0,IF(AND(9&gt;=$C8,OR($D8="",9&lt;=$D8)),$E8/12*(1+Assumptions!$B$26),0))</f>
      </c>
      <c r="O8" s="12">
        <f>IF(OR($A8="",$E8="",$C8=""),0,IF(AND(10&gt;=$C8,OR($D8="",10&lt;=$D8)),$E8/12*(1+Assumptions!$B$26),0))</f>
      </c>
      <c r="P8" s="12">
        <f>IF(OR($A8="",$E8="",$C8=""),0,IF(AND(11&gt;=$C8,OR($D8="",11&lt;=$D8)),$E8/12*(1+Assumptions!$B$26),0))</f>
      </c>
      <c r="Q8" s="12">
        <f>IF(OR($A8="",$E8="",$C8=""),0,IF(AND(12&gt;=$C8,OR($D8="",12&lt;=$D8)),$E8/12*(1+Assumptions!$B$26),0))</f>
      </c>
      <c r="R8" s="12">
        <f>IF(OR($A8="",$E8="",$C8=""),0,IF(AND(13&gt;=$C8,OR($D8="",13&lt;=$D8)),$E8/12*(1+Assumptions!$B$26),0))</f>
      </c>
      <c r="S8" s="12">
        <f>IF(OR($A8="",$E8="",$C8=""),0,IF(AND(14&gt;=$C8,OR($D8="",14&lt;=$D8)),$E8/12*(1+Assumptions!$B$26),0))</f>
      </c>
      <c r="T8" s="12">
        <f>IF(OR($A8="",$E8="",$C8=""),0,IF(AND(15&gt;=$C8,OR($D8="",15&lt;=$D8)),$E8/12*(1+Assumptions!$B$26),0))</f>
      </c>
      <c r="U8" s="12">
        <f>IF(OR($A8="",$E8="",$C8=""),0,IF(AND(16&gt;=$C8,OR($D8="",16&lt;=$D8)),$E8/12*(1+Assumptions!$B$26),0))</f>
      </c>
      <c r="V8" s="12">
        <f>IF(OR($A8="",$E8="",$C8=""),0,IF(AND(17&gt;=$C8,OR($D8="",17&lt;=$D8)),$E8/12*(1+Assumptions!$B$26),0))</f>
      </c>
      <c r="W8" s="12">
        <f>IF(OR($A8="",$E8="",$C8=""),0,IF(AND(18&gt;=$C8,OR($D8="",18&lt;=$D8)),$E8/12*(1+Assumptions!$B$26),0))</f>
      </c>
      <c r="X8" s="12">
        <f>IF(OR($A8="",$E8="",$C8=""),0,IF(AND(19&gt;=$C8,OR($D8="",19&lt;=$D8)),$E8/12*(1+Assumptions!$B$26),0))</f>
      </c>
      <c r="Y8" s="12">
        <f>IF(OR($A8="",$E8="",$C8=""),0,IF(AND(20&gt;=$C8,OR($D8="",20&lt;=$D8)),$E8/12*(1+Assumptions!$B$26),0))</f>
      </c>
      <c r="Z8" s="12">
        <f>IF(OR($A8="",$E8="",$C8=""),0,IF(AND(21&gt;=$C8,OR($D8="",21&lt;=$D8)),$E8/12*(1+Assumptions!$B$26),0))</f>
      </c>
      <c r="AA8" s="12">
        <f>IF(OR($A8="",$E8="",$C8=""),0,IF(AND(22&gt;=$C8,OR($D8="",22&lt;=$D8)),$E8/12*(1+Assumptions!$B$26),0))</f>
      </c>
      <c r="AB8" s="12">
        <f>IF(OR($A8="",$E8="",$C8=""),0,IF(AND(23&gt;=$C8,OR($D8="",23&lt;=$D8)),$E8/12*(1+Assumptions!$B$26),0))</f>
      </c>
      <c r="AC8" s="12">
        <f>IF(OR($A8="",$E8="",$C8=""),0,IF(AND(24&gt;=$C8,OR($D8="",24&lt;=$D8)),$E8/12*(1+Assumptions!$B$26),0))</f>
      </c>
    </row>
    <row r="9" spans="1:29" x14ac:dyDescent="0.25">
      <c r="A9" s="9" t="s">
        <v>91</v>
      </c>
      <c r="B9" s="9" t="s">
        <v>88</v>
      </c>
      <c r="C9" s="9">
        <v>1</v>
      </c>
      <c r="D9" s="9"/>
      <c r="E9" s="7">
        <v>1600000</v>
      </c>
      <c r="F9" s="12">
        <f>IF(OR($A9="",$E9="",$C9=""),0,IF(AND(1&gt;=$C9,OR($D9="",1&lt;=$D9)),$E9/12*(1+Assumptions!$B$26),0))</f>
      </c>
      <c r="G9" s="12">
        <f>IF(OR($A9="",$E9="",$C9=""),0,IF(AND(2&gt;=$C9,OR($D9="",2&lt;=$D9)),$E9/12*(1+Assumptions!$B$26),0))</f>
      </c>
      <c r="H9" s="12">
        <f>IF(OR($A9="",$E9="",$C9=""),0,IF(AND(3&gt;=$C9,OR($D9="",3&lt;=$D9)),$E9/12*(1+Assumptions!$B$26),0))</f>
      </c>
      <c r="I9" s="12">
        <f>IF(OR($A9="",$E9="",$C9=""),0,IF(AND(4&gt;=$C9,OR($D9="",4&lt;=$D9)),$E9/12*(1+Assumptions!$B$26),0))</f>
      </c>
      <c r="J9" s="12">
        <f>IF(OR($A9="",$E9="",$C9=""),0,IF(AND(5&gt;=$C9,OR($D9="",5&lt;=$D9)),$E9/12*(1+Assumptions!$B$26),0))</f>
      </c>
      <c r="K9" s="12">
        <f>IF(OR($A9="",$E9="",$C9=""),0,IF(AND(6&gt;=$C9,OR($D9="",6&lt;=$D9)),$E9/12*(1+Assumptions!$B$26),0))</f>
      </c>
      <c r="L9" s="12">
        <f>IF(OR($A9="",$E9="",$C9=""),0,IF(AND(7&gt;=$C9,OR($D9="",7&lt;=$D9)),$E9/12*(1+Assumptions!$B$26),0))</f>
      </c>
      <c r="M9" s="12">
        <f>IF(OR($A9="",$E9="",$C9=""),0,IF(AND(8&gt;=$C9,OR($D9="",8&lt;=$D9)),$E9/12*(1+Assumptions!$B$26),0))</f>
      </c>
      <c r="N9" s="12">
        <f>IF(OR($A9="",$E9="",$C9=""),0,IF(AND(9&gt;=$C9,OR($D9="",9&lt;=$D9)),$E9/12*(1+Assumptions!$B$26),0))</f>
      </c>
      <c r="O9" s="12">
        <f>IF(OR($A9="",$E9="",$C9=""),0,IF(AND(10&gt;=$C9,OR($D9="",10&lt;=$D9)),$E9/12*(1+Assumptions!$B$26),0))</f>
      </c>
      <c r="P9" s="12">
        <f>IF(OR($A9="",$E9="",$C9=""),0,IF(AND(11&gt;=$C9,OR($D9="",11&lt;=$D9)),$E9/12*(1+Assumptions!$B$26),0))</f>
      </c>
      <c r="Q9" s="12">
        <f>IF(OR($A9="",$E9="",$C9=""),0,IF(AND(12&gt;=$C9,OR($D9="",12&lt;=$D9)),$E9/12*(1+Assumptions!$B$26),0))</f>
      </c>
      <c r="R9" s="12">
        <f>IF(OR($A9="",$E9="",$C9=""),0,IF(AND(13&gt;=$C9,OR($D9="",13&lt;=$D9)),$E9/12*(1+Assumptions!$B$26),0))</f>
      </c>
      <c r="S9" s="12">
        <f>IF(OR($A9="",$E9="",$C9=""),0,IF(AND(14&gt;=$C9,OR($D9="",14&lt;=$D9)),$E9/12*(1+Assumptions!$B$26),0))</f>
      </c>
      <c r="T9" s="12">
        <f>IF(OR($A9="",$E9="",$C9=""),0,IF(AND(15&gt;=$C9,OR($D9="",15&lt;=$D9)),$E9/12*(1+Assumptions!$B$26),0))</f>
      </c>
      <c r="U9" s="12">
        <f>IF(OR($A9="",$E9="",$C9=""),0,IF(AND(16&gt;=$C9,OR($D9="",16&lt;=$D9)),$E9/12*(1+Assumptions!$B$26),0))</f>
      </c>
      <c r="V9" s="12">
        <f>IF(OR($A9="",$E9="",$C9=""),0,IF(AND(17&gt;=$C9,OR($D9="",17&lt;=$D9)),$E9/12*(1+Assumptions!$B$26),0))</f>
      </c>
      <c r="W9" s="12">
        <f>IF(OR($A9="",$E9="",$C9=""),0,IF(AND(18&gt;=$C9,OR($D9="",18&lt;=$D9)),$E9/12*(1+Assumptions!$B$26),0))</f>
      </c>
      <c r="X9" s="12">
        <f>IF(OR($A9="",$E9="",$C9=""),0,IF(AND(19&gt;=$C9,OR($D9="",19&lt;=$D9)),$E9/12*(1+Assumptions!$B$26),0))</f>
      </c>
      <c r="Y9" s="12">
        <f>IF(OR($A9="",$E9="",$C9=""),0,IF(AND(20&gt;=$C9,OR($D9="",20&lt;=$D9)),$E9/12*(1+Assumptions!$B$26),0))</f>
      </c>
      <c r="Z9" s="12">
        <f>IF(OR($A9="",$E9="",$C9=""),0,IF(AND(21&gt;=$C9,OR($D9="",21&lt;=$D9)),$E9/12*(1+Assumptions!$B$26),0))</f>
      </c>
      <c r="AA9" s="12">
        <f>IF(OR($A9="",$E9="",$C9=""),0,IF(AND(22&gt;=$C9,OR($D9="",22&lt;=$D9)),$E9/12*(1+Assumptions!$B$26),0))</f>
      </c>
      <c r="AB9" s="12">
        <f>IF(OR($A9="",$E9="",$C9=""),0,IF(AND(23&gt;=$C9,OR($D9="",23&lt;=$D9)),$E9/12*(1+Assumptions!$B$26),0))</f>
      </c>
      <c r="AC9" s="12">
        <f>IF(OR($A9="",$E9="",$C9=""),0,IF(AND(24&gt;=$C9,OR($D9="",24&lt;=$D9)),$E9/12*(1+Assumptions!$B$26),0))</f>
      </c>
    </row>
    <row r="10" spans="1:29" x14ac:dyDescent="0.25">
      <c r="A10" s="9" t="s">
        <v>91</v>
      </c>
      <c r="B10" s="9" t="s">
        <v>88</v>
      </c>
      <c r="C10" s="9">
        <v>1</v>
      </c>
      <c r="D10" s="9"/>
      <c r="E10" s="7">
        <v>1500000</v>
      </c>
      <c r="F10" s="12">
        <f>IF(OR($A10="",$E10="",$C10=""),0,IF(AND(1&gt;=$C10,OR($D10="",1&lt;=$D10)),$E10/12*(1+Assumptions!$B$26),0))</f>
      </c>
      <c r="G10" s="12">
        <f>IF(OR($A10="",$E10="",$C10=""),0,IF(AND(2&gt;=$C10,OR($D10="",2&lt;=$D10)),$E10/12*(1+Assumptions!$B$26),0))</f>
      </c>
      <c r="H10" s="12">
        <f>IF(OR($A10="",$E10="",$C10=""),0,IF(AND(3&gt;=$C10,OR($D10="",3&lt;=$D10)),$E10/12*(1+Assumptions!$B$26),0))</f>
      </c>
      <c r="I10" s="12">
        <f>IF(OR($A10="",$E10="",$C10=""),0,IF(AND(4&gt;=$C10,OR($D10="",4&lt;=$D10)),$E10/12*(1+Assumptions!$B$26),0))</f>
      </c>
      <c r="J10" s="12">
        <f>IF(OR($A10="",$E10="",$C10=""),0,IF(AND(5&gt;=$C10,OR($D10="",5&lt;=$D10)),$E10/12*(1+Assumptions!$B$26),0))</f>
      </c>
      <c r="K10" s="12">
        <f>IF(OR($A10="",$E10="",$C10=""),0,IF(AND(6&gt;=$C10,OR($D10="",6&lt;=$D10)),$E10/12*(1+Assumptions!$B$26),0))</f>
      </c>
      <c r="L10" s="12">
        <f>IF(OR($A10="",$E10="",$C10=""),0,IF(AND(7&gt;=$C10,OR($D10="",7&lt;=$D10)),$E10/12*(1+Assumptions!$B$26),0))</f>
      </c>
      <c r="M10" s="12">
        <f>IF(OR($A10="",$E10="",$C10=""),0,IF(AND(8&gt;=$C10,OR($D10="",8&lt;=$D10)),$E10/12*(1+Assumptions!$B$26),0))</f>
      </c>
      <c r="N10" s="12">
        <f>IF(OR($A10="",$E10="",$C10=""),0,IF(AND(9&gt;=$C10,OR($D10="",9&lt;=$D10)),$E10/12*(1+Assumptions!$B$26),0))</f>
      </c>
      <c r="O10" s="12">
        <f>IF(OR($A10="",$E10="",$C10=""),0,IF(AND(10&gt;=$C10,OR($D10="",10&lt;=$D10)),$E10/12*(1+Assumptions!$B$26),0))</f>
      </c>
      <c r="P10" s="12">
        <f>IF(OR($A10="",$E10="",$C10=""),0,IF(AND(11&gt;=$C10,OR($D10="",11&lt;=$D10)),$E10/12*(1+Assumptions!$B$26),0))</f>
      </c>
      <c r="Q10" s="12">
        <f>IF(OR($A10="",$E10="",$C10=""),0,IF(AND(12&gt;=$C10,OR($D10="",12&lt;=$D10)),$E10/12*(1+Assumptions!$B$26),0))</f>
      </c>
      <c r="R10" s="12">
        <f>IF(OR($A10="",$E10="",$C10=""),0,IF(AND(13&gt;=$C10,OR($D10="",13&lt;=$D10)),$E10/12*(1+Assumptions!$B$26),0))</f>
      </c>
      <c r="S10" s="12">
        <f>IF(OR($A10="",$E10="",$C10=""),0,IF(AND(14&gt;=$C10,OR($D10="",14&lt;=$D10)),$E10/12*(1+Assumptions!$B$26),0))</f>
      </c>
      <c r="T10" s="12">
        <f>IF(OR($A10="",$E10="",$C10=""),0,IF(AND(15&gt;=$C10,OR($D10="",15&lt;=$D10)),$E10/12*(1+Assumptions!$B$26),0))</f>
      </c>
      <c r="U10" s="12">
        <f>IF(OR($A10="",$E10="",$C10=""),0,IF(AND(16&gt;=$C10,OR($D10="",16&lt;=$D10)),$E10/12*(1+Assumptions!$B$26),0))</f>
      </c>
      <c r="V10" s="12">
        <f>IF(OR($A10="",$E10="",$C10=""),0,IF(AND(17&gt;=$C10,OR($D10="",17&lt;=$D10)),$E10/12*(1+Assumptions!$B$26),0))</f>
      </c>
      <c r="W10" s="12">
        <f>IF(OR($A10="",$E10="",$C10=""),0,IF(AND(18&gt;=$C10,OR($D10="",18&lt;=$D10)),$E10/12*(1+Assumptions!$B$26),0))</f>
      </c>
      <c r="X10" s="12">
        <f>IF(OR($A10="",$E10="",$C10=""),0,IF(AND(19&gt;=$C10,OR($D10="",19&lt;=$D10)),$E10/12*(1+Assumptions!$B$26),0))</f>
      </c>
      <c r="Y10" s="12">
        <f>IF(OR($A10="",$E10="",$C10=""),0,IF(AND(20&gt;=$C10,OR($D10="",20&lt;=$D10)),$E10/12*(1+Assumptions!$B$26),0))</f>
      </c>
      <c r="Z10" s="12">
        <f>IF(OR($A10="",$E10="",$C10=""),0,IF(AND(21&gt;=$C10,OR($D10="",21&lt;=$D10)),$E10/12*(1+Assumptions!$B$26),0))</f>
      </c>
      <c r="AA10" s="12">
        <f>IF(OR($A10="",$E10="",$C10=""),0,IF(AND(22&gt;=$C10,OR($D10="",22&lt;=$D10)),$E10/12*(1+Assumptions!$B$26),0))</f>
      </c>
      <c r="AB10" s="12">
        <f>IF(OR($A10="",$E10="",$C10=""),0,IF(AND(23&gt;=$C10,OR($D10="",23&lt;=$D10)),$E10/12*(1+Assumptions!$B$26),0))</f>
      </c>
      <c r="AC10" s="12">
        <f>IF(OR($A10="",$E10="",$C10=""),0,IF(AND(24&gt;=$C10,OR($D10="",24&lt;=$D10)),$E10/12*(1+Assumptions!$B$26),0))</f>
      </c>
    </row>
    <row r="11" spans="1:29" x14ac:dyDescent="0.25">
      <c r="A11" s="9" t="s">
        <v>92</v>
      </c>
      <c r="B11" s="9" t="s">
        <v>93</v>
      </c>
      <c r="C11" s="9">
        <v>1</v>
      </c>
      <c r="D11" s="9"/>
      <c r="E11" s="7">
        <v>3800000</v>
      </c>
      <c r="F11" s="12">
        <f>IF(OR($A11="",$E11="",$C11=""),0,IF(AND(1&gt;=$C11,OR($D11="",1&lt;=$D11)),$E11/12*(1+Assumptions!$B$26),0))</f>
      </c>
      <c r="G11" s="12">
        <f>IF(OR($A11="",$E11="",$C11=""),0,IF(AND(2&gt;=$C11,OR($D11="",2&lt;=$D11)),$E11/12*(1+Assumptions!$B$26),0))</f>
      </c>
      <c r="H11" s="12">
        <f>IF(OR($A11="",$E11="",$C11=""),0,IF(AND(3&gt;=$C11,OR($D11="",3&lt;=$D11)),$E11/12*(1+Assumptions!$B$26),0))</f>
      </c>
      <c r="I11" s="12">
        <f>IF(OR($A11="",$E11="",$C11=""),0,IF(AND(4&gt;=$C11,OR($D11="",4&lt;=$D11)),$E11/12*(1+Assumptions!$B$26),0))</f>
      </c>
      <c r="J11" s="12">
        <f>IF(OR($A11="",$E11="",$C11=""),0,IF(AND(5&gt;=$C11,OR($D11="",5&lt;=$D11)),$E11/12*(1+Assumptions!$B$26),0))</f>
      </c>
      <c r="K11" s="12">
        <f>IF(OR($A11="",$E11="",$C11=""),0,IF(AND(6&gt;=$C11,OR($D11="",6&lt;=$D11)),$E11/12*(1+Assumptions!$B$26),0))</f>
      </c>
      <c r="L11" s="12">
        <f>IF(OR($A11="",$E11="",$C11=""),0,IF(AND(7&gt;=$C11,OR($D11="",7&lt;=$D11)),$E11/12*(1+Assumptions!$B$26),0))</f>
      </c>
      <c r="M11" s="12">
        <f>IF(OR($A11="",$E11="",$C11=""),0,IF(AND(8&gt;=$C11,OR($D11="",8&lt;=$D11)),$E11/12*(1+Assumptions!$B$26),0))</f>
      </c>
      <c r="N11" s="12">
        <f>IF(OR($A11="",$E11="",$C11=""),0,IF(AND(9&gt;=$C11,OR($D11="",9&lt;=$D11)),$E11/12*(1+Assumptions!$B$26),0))</f>
      </c>
      <c r="O11" s="12">
        <f>IF(OR($A11="",$E11="",$C11=""),0,IF(AND(10&gt;=$C11,OR($D11="",10&lt;=$D11)),$E11/12*(1+Assumptions!$B$26),0))</f>
      </c>
      <c r="P11" s="12">
        <f>IF(OR($A11="",$E11="",$C11=""),0,IF(AND(11&gt;=$C11,OR($D11="",11&lt;=$D11)),$E11/12*(1+Assumptions!$B$26),0))</f>
      </c>
      <c r="Q11" s="12">
        <f>IF(OR($A11="",$E11="",$C11=""),0,IF(AND(12&gt;=$C11,OR($D11="",12&lt;=$D11)),$E11/12*(1+Assumptions!$B$26),0))</f>
      </c>
      <c r="R11" s="12">
        <f>IF(OR($A11="",$E11="",$C11=""),0,IF(AND(13&gt;=$C11,OR($D11="",13&lt;=$D11)),$E11/12*(1+Assumptions!$B$26),0))</f>
      </c>
      <c r="S11" s="12">
        <f>IF(OR($A11="",$E11="",$C11=""),0,IF(AND(14&gt;=$C11,OR($D11="",14&lt;=$D11)),$E11/12*(1+Assumptions!$B$26),0))</f>
      </c>
      <c r="T11" s="12">
        <f>IF(OR($A11="",$E11="",$C11=""),0,IF(AND(15&gt;=$C11,OR($D11="",15&lt;=$D11)),$E11/12*(1+Assumptions!$B$26),0))</f>
      </c>
      <c r="U11" s="12">
        <f>IF(OR($A11="",$E11="",$C11=""),0,IF(AND(16&gt;=$C11,OR($D11="",16&lt;=$D11)),$E11/12*(1+Assumptions!$B$26),0))</f>
      </c>
      <c r="V11" s="12">
        <f>IF(OR($A11="",$E11="",$C11=""),0,IF(AND(17&gt;=$C11,OR($D11="",17&lt;=$D11)),$E11/12*(1+Assumptions!$B$26),0))</f>
      </c>
      <c r="W11" s="12">
        <f>IF(OR($A11="",$E11="",$C11=""),0,IF(AND(18&gt;=$C11,OR($D11="",18&lt;=$D11)),$E11/12*(1+Assumptions!$B$26),0))</f>
      </c>
      <c r="X11" s="12">
        <f>IF(OR($A11="",$E11="",$C11=""),0,IF(AND(19&gt;=$C11,OR($D11="",19&lt;=$D11)),$E11/12*(1+Assumptions!$B$26),0))</f>
      </c>
      <c r="Y11" s="12">
        <f>IF(OR($A11="",$E11="",$C11=""),0,IF(AND(20&gt;=$C11,OR($D11="",20&lt;=$D11)),$E11/12*(1+Assumptions!$B$26),0))</f>
      </c>
      <c r="Z11" s="12">
        <f>IF(OR($A11="",$E11="",$C11=""),0,IF(AND(21&gt;=$C11,OR($D11="",21&lt;=$D11)),$E11/12*(1+Assumptions!$B$26),0))</f>
      </c>
      <c r="AA11" s="12">
        <f>IF(OR($A11="",$E11="",$C11=""),0,IF(AND(22&gt;=$C11,OR($D11="",22&lt;=$D11)),$E11/12*(1+Assumptions!$B$26),0))</f>
      </c>
      <c r="AB11" s="12">
        <f>IF(OR($A11="",$E11="",$C11=""),0,IF(AND(23&gt;=$C11,OR($D11="",23&lt;=$D11)),$E11/12*(1+Assumptions!$B$26),0))</f>
      </c>
      <c r="AC11" s="12">
        <f>IF(OR($A11="",$E11="",$C11=""),0,IF(AND(24&gt;=$C11,OR($D11="",24&lt;=$D11)),$E11/12*(1+Assumptions!$B$26),0))</f>
      </c>
    </row>
    <row r="12" spans="1:29" x14ac:dyDescent="0.25">
      <c r="A12" s="9" t="s">
        <v>94</v>
      </c>
      <c r="B12" s="9" t="s">
        <v>93</v>
      </c>
      <c r="C12" s="9">
        <v>1</v>
      </c>
      <c r="D12" s="9"/>
      <c r="E12" s="7">
        <v>1400000</v>
      </c>
      <c r="F12" s="12">
        <f>IF(OR($A12="",$E12="",$C12=""),0,IF(AND(1&gt;=$C12,OR($D12="",1&lt;=$D12)),$E12/12*(1+Assumptions!$B$26),0))</f>
      </c>
      <c r="G12" s="12">
        <f>IF(OR($A12="",$E12="",$C12=""),0,IF(AND(2&gt;=$C12,OR($D12="",2&lt;=$D12)),$E12/12*(1+Assumptions!$B$26),0))</f>
      </c>
      <c r="H12" s="12">
        <f>IF(OR($A12="",$E12="",$C12=""),0,IF(AND(3&gt;=$C12,OR($D12="",3&lt;=$D12)),$E12/12*(1+Assumptions!$B$26),0))</f>
      </c>
      <c r="I12" s="12">
        <f>IF(OR($A12="",$E12="",$C12=""),0,IF(AND(4&gt;=$C12,OR($D12="",4&lt;=$D12)),$E12/12*(1+Assumptions!$B$26),0))</f>
      </c>
      <c r="J12" s="12">
        <f>IF(OR($A12="",$E12="",$C12=""),0,IF(AND(5&gt;=$C12,OR($D12="",5&lt;=$D12)),$E12/12*(1+Assumptions!$B$26),0))</f>
      </c>
      <c r="K12" s="12">
        <f>IF(OR($A12="",$E12="",$C12=""),0,IF(AND(6&gt;=$C12,OR($D12="",6&lt;=$D12)),$E12/12*(1+Assumptions!$B$26),0))</f>
      </c>
      <c r="L12" s="12">
        <f>IF(OR($A12="",$E12="",$C12=""),0,IF(AND(7&gt;=$C12,OR($D12="",7&lt;=$D12)),$E12/12*(1+Assumptions!$B$26),0))</f>
      </c>
      <c r="M12" s="12">
        <f>IF(OR($A12="",$E12="",$C12=""),0,IF(AND(8&gt;=$C12,OR($D12="",8&lt;=$D12)),$E12/12*(1+Assumptions!$B$26),0))</f>
      </c>
      <c r="N12" s="12">
        <f>IF(OR($A12="",$E12="",$C12=""),0,IF(AND(9&gt;=$C12,OR($D12="",9&lt;=$D12)),$E12/12*(1+Assumptions!$B$26),0))</f>
      </c>
      <c r="O12" s="12">
        <f>IF(OR($A12="",$E12="",$C12=""),0,IF(AND(10&gt;=$C12,OR($D12="",10&lt;=$D12)),$E12/12*(1+Assumptions!$B$26),0))</f>
      </c>
      <c r="P12" s="12">
        <f>IF(OR($A12="",$E12="",$C12=""),0,IF(AND(11&gt;=$C12,OR($D12="",11&lt;=$D12)),$E12/12*(1+Assumptions!$B$26),0))</f>
      </c>
      <c r="Q12" s="12">
        <f>IF(OR($A12="",$E12="",$C12=""),0,IF(AND(12&gt;=$C12,OR($D12="",12&lt;=$D12)),$E12/12*(1+Assumptions!$B$26),0))</f>
      </c>
      <c r="R12" s="12">
        <f>IF(OR($A12="",$E12="",$C12=""),0,IF(AND(13&gt;=$C12,OR($D12="",13&lt;=$D12)),$E12/12*(1+Assumptions!$B$26),0))</f>
      </c>
      <c r="S12" s="12">
        <f>IF(OR($A12="",$E12="",$C12=""),0,IF(AND(14&gt;=$C12,OR($D12="",14&lt;=$D12)),$E12/12*(1+Assumptions!$B$26),0))</f>
      </c>
      <c r="T12" s="12">
        <f>IF(OR($A12="",$E12="",$C12=""),0,IF(AND(15&gt;=$C12,OR($D12="",15&lt;=$D12)),$E12/12*(1+Assumptions!$B$26),0))</f>
      </c>
      <c r="U12" s="12">
        <f>IF(OR($A12="",$E12="",$C12=""),0,IF(AND(16&gt;=$C12,OR($D12="",16&lt;=$D12)),$E12/12*(1+Assumptions!$B$26),0))</f>
      </c>
      <c r="V12" s="12">
        <f>IF(OR($A12="",$E12="",$C12=""),0,IF(AND(17&gt;=$C12,OR($D12="",17&lt;=$D12)),$E12/12*(1+Assumptions!$B$26),0))</f>
      </c>
      <c r="W12" s="12">
        <f>IF(OR($A12="",$E12="",$C12=""),0,IF(AND(18&gt;=$C12,OR($D12="",18&lt;=$D12)),$E12/12*(1+Assumptions!$B$26),0))</f>
      </c>
      <c r="X12" s="12">
        <f>IF(OR($A12="",$E12="",$C12=""),0,IF(AND(19&gt;=$C12,OR($D12="",19&lt;=$D12)),$E12/12*(1+Assumptions!$B$26),0))</f>
      </c>
      <c r="Y12" s="12">
        <f>IF(OR($A12="",$E12="",$C12=""),0,IF(AND(20&gt;=$C12,OR($D12="",20&lt;=$D12)),$E12/12*(1+Assumptions!$B$26),0))</f>
      </c>
      <c r="Z12" s="12">
        <f>IF(OR($A12="",$E12="",$C12=""),0,IF(AND(21&gt;=$C12,OR($D12="",21&lt;=$D12)),$E12/12*(1+Assumptions!$B$26),0))</f>
      </c>
      <c r="AA12" s="12">
        <f>IF(OR($A12="",$E12="",$C12=""),0,IF(AND(22&gt;=$C12,OR($D12="",22&lt;=$D12)),$E12/12*(1+Assumptions!$B$26),0))</f>
      </c>
      <c r="AB12" s="12">
        <f>IF(OR($A12="",$E12="",$C12=""),0,IF(AND(23&gt;=$C12,OR($D12="",23&lt;=$D12)),$E12/12*(1+Assumptions!$B$26),0))</f>
      </c>
      <c r="AC12" s="12">
        <f>IF(OR($A12="",$E12="",$C12=""),0,IF(AND(24&gt;=$C12,OR($D12="",24&lt;=$D12)),$E12/12*(1+Assumptions!$B$26),0))</f>
      </c>
    </row>
    <row r="13" spans="1:29" x14ac:dyDescent="0.25">
      <c r="A13" s="9" t="s">
        <v>94</v>
      </c>
      <c r="B13" s="9" t="s">
        <v>93</v>
      </c>
      <c r="C13" s="9">
        <v>4</v>
      </c>
      <c r="D13" s="9"/>
      <c r="E13" s="7">
        <v>1400000</v>
      </c>
      <c r="F13" s="12">
        <f>IF(OR($A13="",$E13="",$C13=""),0,IF(AND(1&gt;=$C13,OR($D13="",1&lt;=$D13)),$E13/12*(1+Assumptions!$B$26),0))</f>
      </c>
      <c r="G13" s="12">
        <f>IF(OR($A13="",$E13="",$C13=""),0,IF(AND(2&gt;=$C13,OR($D13="",2&lt;=$D13)),$E13/12*(1+Assumptions!$B$26),0))</f>
      </c>
      <c r="H13" s="12">
        <f>IF(OR($A13="",$E13="",$C13=""),0,IF(AND(3&gt;=$C13,OR($D13="",3&lt;=$D13)),$E13/12*(1+Assumptions!$B$26),0))</f>
      </c>
      <c r="I13" s="12">
        <f>IF(OR($A13="",$E13="",$C13=""),0,IF(AND(4&gt;=$C13,OR($D13="",4&lt;=$D13)),$E13/12*(1+Assumptions!$B$26),0))</f>
      </c>
      <c r="J13" s="12">
        <f>IF(OR($A13="",$E13="",$C13=""),0,IF(AND(5&gt;=$C13,OR($D13="",5&lt;=$D13)),$E13/12*(1+Assumptions!$B$26),0))</f>
      </c>
      <c r="K13" s="12">
        <f>IF(OR($A13="",$E13="",$C13=""),0,IF(AND(6&gt;=$C13,OR($D13="",6&lt;=$D13)),$E13/12*(1+Assumptions!$B$26),0))</f>
      </c>
      <c r="L13" s="12">
        <f>IF(OR($A13="",$E13="",$C13=""),0,IF(AND(7&gt;=$C13,OR($D13="",7&lt;=$D13)),$E13/12*(1+Assumptions!$B$26),0))</f>
      </c>
      <c r="M13" s="12">
        <f>IF(OR($A13="",$E13="",$C13=""),0,IF(AND(8&gt;=$C13,OR($D13="",8&lt;=$D13)),$E13/12*(1+Assumptions!$B$26),0))</f>
      </c>
      <c r="N13" s="12">
        <f>IF(OR($A13="",$E13="",$C13=""),0,IF(AND(9&gt;=$C13,OR($D13="",9&lt;=$D13)),$E13/12*(1+Assumptions!$B$26),0))</f>
      </c>
      <c r="O13" s="12">
        <f>IF(OR($A13="",$E13="",$C13=""),0,IF(AND(10&gt;=$C13,OR($D13="",10&lt;=$D13)),$E13/12*(1+Assumptions!$B$26),0))</f>
      </c>
      <c r="P13" s="12">
        <f>IF(OR($A13="",$E13="",$C13=""),0,IF(AND(11&gt;=$C13,OR($D13="",11&lt;=$D13)),$E13/12*(1+Assumptions!$B$26),0))</f>
      </c>
      <c r="Q13" s="12">
        <f>IF(OR($A13="",$E13="",$C13=""),0,IF(AND(12&gt;=$C13,OR($D13="",12&lt;=$D13)),$E13/12*(1+Assumptions!$B$26),0))</f>
      </c>
      <c r="R13" s="12">
        <f>IF(OR($A13="",$E13="",$C13=""),0,IF(AND(13&gt;=$C13,OR($D13="",13&lt;=$D13)),$E13/12*(1+Assumptions!$B$26),0))</f>
      </c>
      <c r="S13" s="12">
        <f>IF(OR($A13="",$E13="",$C13=""),0,IF(AND(14&gt;=$C13,OR($D13="",14&lt;=$D13)),$E13/12*(1+Assumptions!$B$26),0))</f>
      </c>
      <c r="T13" s="12">
        <f>IF(OR($A13="",$E13="",$C13=""),0,IF(AND(15&gt;=$C13,OR($D13="",15&lt;=$D13)),$E13/12*(1+Assumptions!$B$26),0))</f>
      </c>
      <c r="U13" s="12">
        <f>IF(OR($A13="",$E13="",$C13=""),0,IF(AND(16&gt;=$C13,OR($D13="",16&lt;=$D13)),$E13/12*(1+Assumptions!$B$26),0))</f>
      </c>
      <c r="V13" s="12">
        <f>IF(OR($A13="",$E13="",$C13=""),0,IF(AND(17&gt;=$C13,OR($D13="",17&lt;=$D13)),$E13/12*(1+Assumptions!$B$26),0))</f>
      </c>
      <c r="W13" s="12">
        <f>IF(OR($A13="",$E13="",$C13=""),0,IF(AND(18&gt;=$C13,OR($D13="",18&lt;=$D13)),$E13/12*(1+Assumptions!$B$26),0))</f>
      </c>
      <c r="X13" s="12">
        <f>IF(OR($A13="",$E13="",$C13=""),0,IF(AND(19&gt;=$C13,OR($D13="",19&lt;=$D13)),$E13/12*(1+Assumptions!$B$26),0))</f>
      </c>
      <c r="Y13" s="12">
        <f>IF(OR($A13="",$E13="",$C13=""),0,IF(AND(20&gt;=$C13,OR($D13="",20&lt;=$D13)),$E13/12*(1+Assumptions!$B$26),0))</f>
      </c>
      <c r="Z13" s="12">
        <f>IF(OR($A13="",$E13="",$C13=""),0,IF(AND(21&gt;=$C13,OR($D13="",21&lt;=$D13)),$E13/12*(1+Assumptions!$B$26),0))</f>
      </c>
      <c r="AA13" s="12">
        <f>IF(OR($A13="",$E13="",$C13=""),0,IF(AND(22&gt;=$C13,OR($D13="",22&lt;=$D13)),$E13/12*(1+Assumptions!$B$26),0))</f>
      </c>
      <c r="AB13" s="12">
        <f>IF(OR($A13="",$E13="",$C13=""),0,IF(AND(23&gt;=$C13,OR($D13="",23&lt;=$D13)),$E13/12*(1+Assumptions!$B$26),0))</f>
      </c>
      <c r="AC13" s="12">
        <f>IF(OR($A13="",$E13="",$C13=""),0,IF(AND(24&gt;=$C13,OR($D13="",24&lt;=$D13)),$E13/12*(1+Assumptions!$B$26),0))</f>
      </c>
    </row>
    <row r="14" spans="1:29" x14ac:dyDescent="0.25">
      <c r="A14" s="9" t="s">
        <v>95</v>
      </c>
      <c r="B14" s="9" t="s">
        <v>96</v>
      </c>
      <c r="C14" s="9">
        <v>1</v>
      </c>
      <c r="D14" s="9"/>
      <c r="E14" s="7">
        <v>1800000</v>
      </c>
      <c r="F14" s="12">
        <f>IF(OR($A14="",$E14="",$C14=""),0,IF(AND(1&gt;=$C14,OR($D14="",1&lt;=$D14)),$E14/12*(1+Assumptions!$B$26),0))</f>
      </c>
      <c r="G14" s="12">
        <f>IF(OR($A14="",$E14="",$C14=""),0,IF(AND(2&gt;=$C14,OR($D14="",2&lt;=$D14)),$E14/12*(1+Assumptions!$B$26),0))</f>
      </c>
      <c r="H14" s="12">
        <f>IF(OR($A14="",$E14="",$C14=""),0,IF(AND(3&gt;=$C14,OR($D14="",3&lt;=$D14)),$E14/12*(1+Assumptions!$B$26),0))</f>
      </c>
      <c r="I14" s="12">
        <f>IF(OR($A14="",$E14="",$C14=""),0,IF(AND(4&gt;=$C14,OR($D14="",4&lt;=$D14)),$E14/12*(1+Assumptions!$B$26),0))</f>
      </c>
      <c r="J14" s="12">
        <f>IF(OR($A14="",$E14="",$C14=""),0,IF(AND(5&gt;=$C14,OR($D14="",5&lt;=$D14)),$E14/12*(1+Assumptions!$B$26),0))</f>
      </c>
      <c r="K14" s="12">
        <f>IF(OR($A14="",$E14="",$C14=""),0,IF(AND(6&gt;=$C14,OR($D14="",6&lt;=$D14)),$E14/12*(1+Assumptions!$B$26),0))</f>
      </c>
      <c r="L14" s="12">
        <f>IF(OR($A14="",$E14="",$C14=""),0,IF(AND(7&gt;=$C14,OR($D14="",7&lt;=$D14)),$E14/12*(1+Assumptions!$B$26),0))</f>
      </c>
      <c r="M14" s="12">
        <f>IF(OR($A14="",$E14="",$C14=""),0,IF(AND(8&gt;=$C14,OR($D14="",8&lt;=$D14)),$E14/12*(1+Assumptions!$B$26),0))</f>
      </c>
      <c r="N14" s="12">
        <f>IF(OR($A14="",$E14="",$C14=""),0,IF(AND(9&gt;=$C14,OR($D14="",9&lt;=$D14)),$E14/12*(1+Assumptions!$B$26),0))</f>
      </c>
      <c r="O14" s="12">
        <f>IF(OR($A14="",$E14="",$C14=""),0,IF(AND(10&gt;=$C14,OR($D14="",10&lt;=$D14)),$E14/12*(1+Assumptions!$B$26),0))</f>
      </c>
      <c r="P14" s="12">
        <f>IF(OR($A14="",$E14="",$C14=""),0,IF(AND(11&gt;=$C14,OR($D14="",11&lt;=$D14)),$E14/12*(1+Assumptions!$B$26),0))</f>
      </c>
      <c r="Q14" s="12">
        <f>IF(OR($A14="",$E14="",$C14=""),0,IF(AND(12&gt;=$C14,OR($D14="",12&lt;=$D14)),$E14/12*(1+Assumptions!$B$26),0))</f>
      </c>
      <c r="R14" s="12">
        <f>IF(OR($A14="",$E14="",$C14=""),0,IF(AND(13&gt;=$C14,OR($D14="",13&lt;=$D14)),$E14/12*(1+Assumptions!$B$26),0))</f>
      </c>
      <c r="S14" s="12">
        <f>IF(OR($A14="",$E14="",$C14=""),0,IF(AND(14&gt;=$C14,OR($D14="",14&lt;=$D14)),$E14/12*(1+Assumptions!$B$26),0))</f>
      </c>
      <c r="T14" s="12">
        <f>IF(OR($A14="",$E14="",$C14=""),0,IF(AND(15&gt;=$C14,OR($D14="",15&lt;=$D14)),$E14/12*(1+Assumptions!$B$26),0))</f>
      </c>
      <c r="U14" s="12">
        <f>IF(OR($A14="",$E14="",$C14=""),0,IF(AND(16&gt;=$C14,OR($D14="",16&lt;=$D14)),$E14/12*(1+Assumptions!$B$26),0))</f>
      </c>
      <c r="V14" s="12">
        <f>IF(OR($A14="",$E14="",$C14=""),0,IF(AND(17&gt;=$C14,OR($D14="",17&lt;=$D14)),$E14/12*(1+Assumptions!$B$26),0))</f>
      </c>
      <c r="W14" s="12">
        <f>IF(OR($A14="",$E14="",$C14=""),0,IF(AND(18&gt;=$C14,OR($D14="",18&lt;=$D14)),$E14/12*(1+Assumptions!$B$26),0))</f>
      </c>
      <c r="X14" s="12">
        <f>IF(OR($A14="",$E14="",$C14=""),0,IF(AND(19&gt;=$C14,OR($D14="",19&lt;=$D14)),$E14/12*(1+Assumptions!$B$26),0))</f>
      </c>
      <c r="Y14" s="12">
        <f>IF(OR($A14="",$E14="",$C14=""),0,IF(AND(20&gt;=$C14,OR($D14="",20&lt;=$D14)),$E14/12*(1+Assumptions!$B$26),0))</f>
      </c>
      <c r="Z14" s="12">
        <f>IF(OR($A14="",$E14="",$C14=""),0,IF(AND(21&gt;=$C14,OR($D14="",21&lt;=$D14)),$E14/12*(1+Assumptions!$B$26),0))</f>
      </c>
      <c r="AA14" s="12">
        <f>IF(OR($A14="",$E14="",$C14=""),0,IF(AND(22&gt;=$C14,OR($D14="",22&lt;=$D14)),$E14/12*(1+Assumptions!$B$26),0))</f>
      </c>
      <c r="AB14" s="12">
        <f>IF(OR($A14="",$E14="",$C14=""),0,IF(AND(23&gt;=$C14,OR($D14="",23&lt;=$D14)),$E14/12*(1+Assumptions!$B$26),0))</f>
      </c>
      <c r="AC14" s="12">
        <f>IF(OR($A14="",$E14="",$C14=""),0,IF(AND(24&gt;=$C14,OR($D14="",24&lt;=$D14)),$E14/12*(1+Assumptions!$B$26),0))</f>
      </c>
    </row>
    <row r="15" spans="1:29" x14ac:dyDescent="0.25">
      <c r="A15" s="9" t="s">
        <v>97</v>
      </c>
      <c r="B15" s="9" t="s">
        <v>98</v>
      </c>
      <c r="C15" s="9">
        <v>1</v>
      </c>
      <c r="D15" s="9"/>
      <c r="E15" s="7">
        <v>1100000</v>
      </c>
      <c r="F15" s="12">
        <f>IF(OR($A15="",$E15="",$C15=""),0,IF(AND(1&gt;=$C15,OR($D15="",1&lt;=$D15)),$E15/12*(1+Assumptions!$B$26),0))</f>
      </c>
      <c r="G15" s="12">
        <f>IF(OR($A15="",$E15="",$C15=""),0,IF(AND(2&gt;=$C15,OR($D15="",2&lt;=$D15)),$E15/12*(1+Assumptions!$B$26),0))</f>
      </c>
      <c r="H15" s="12">
        <f>IF(OR($A15="",$E15="",$C15=""),0,IF(AND(3&gt;=$C15,OR($D15="",3&lt;=$D15)),$E15/12*(1+Assumptions!$B$26),0))</f>
      </c>
      <c r="I15" s="12">
        <f>IF(OR($A15="",$E15="",$C15=""),0,IF(AND(4&gt;=$C15,OR($D15="",4&lt;=$D15)),$E15/12*(1+Assumptions!$B$26),0))</f>
      </c>
      <c r="J15" s="12">
        <f>IF(OR($A15="",$E15="",$C15=""),0,IF(AND(5&gt;=$C15,OR($D15="",5&lt;=$D15)),$E15/12*(1+Assumptions!$B$26),0))</f>
      </c>
      <c r="K15" s="12">
        <f>IF(OR($A15="",$E15="",$C15=""),0,IF(AND(6&gt;=$C15,OR($D15="",6&lt;=$D15)),$E15/12*(1+Assumptions!$B$26),0))</f>
      </c>
      <c r="L15" s="12">
        <f>IF(OR($A15="",$E15="",$C15=""),0,IF(AND(7&gt;=$C15,OR($D15="",7&lt;=$D15)),$E15/12*(1+Assumptions!$B$26),0))</f>
      </c>
      <c r="M15" s="12">
        <f>IF(OR($A15="",$E15="",$C15=""),0,IF(AND(8&gt;=$C15,OR($D15="",8&lt;=$D15)),$E15/12*(1+Assumptions!$B$26),0))</f>
      </c>
      <c r="N15" s="12">
        <f>IF(OR($A15="",$E15="",$C15=""),0,IF(AND(9&gt;=$C15,OR($D15="",9&lt;=$D15)),$E15/12*(1+Assumptions!$B$26),0))</f>
      </c>
      <c r="O15" s="12">
        <f>IF(OR($A15="",$E15="",$C15=""),0,IF(AND(10&gt;=$C15,OR($D15="",10&lt;=$D15)),$E15/12*(1+Assumptions!$B$26),0))</f>
      </c>
      <c r="P15" s="12">
        <f>IF(OR($A15="",$E15="",$C15=""),0,IF(AND(11&gt;=$C15,OR($D15="",11&lt;=$D15)),$E15/12*(1+Assumptions!$B$26),0))</f>
      </c>
      <c r="Q15" s="12">
        <f>IF(OR($A15="",$E15="",$C15=""),0,IF(AND(12&gt;=$C15,OR($D15="",12&lt;=$D15)),$E15/12*(1+Assumptions!$B$26),0))</f>
      </c>
      <c r="R15" s="12">
        <f>IF(OR($A15="",$E15="",$C15=""),0,IF(AND(13&gt;=$C15,OR($D15="",13&lt;=$D15)),$E15/12*(1+Assumptions!$B$26),0))</f>
      </c>
      <c r="S15" s="12">
        <f>IF(OR($A15="",$E15="",$C15=""),0,IF(AND(14&gt;=$C15,OR($D15="",14&lt;=$D15)),$E15/12*(1+Assumptions!$B$26),0))</f>
      </c>
      <c r="T15" s="12">
        <f>IF(OR($A15="",$E15="",$C15=""),0,IF(AND(15&gt;=$C15,OR($D15="",15&lt;=$D15)),$E15/12*(1+Assumptions!$B$26),0))</f>
      </c>
      <c r="U15" s="12">
        <f>IF(OR($A15="",$E15="",$C15=""),0,IF(AND(16&gt;=$C15,OR($D15="",16&lt;=$D15)),$E15/12*(1+Assumptions!$B$26),0))</f>
      </c>
      <c r="V15" s="12">
        <f>IF(OR($A15="",$E15="",$C15=""),0,IF(AND(17&gt;=$C15,OR($D15="",17&lt;=$D15)),$E15/12*(1+Assumptions!$B$26),0))</f>
      </c>
      <c r="W15" s="12">
        <f>IF(OR($A15="",$E15="",$C15=""),0,IF(AND(18&gt;=$C15,OR($D15="",18&lt;=$D15)),$E15/12*(1+Assumptions!$B$26),0))</f>
      </c>
      <c r="X15" s="12">
        <f>IF(OR($A15="",$E15="",$C15=""),0,IF(AND(19&gt;=$C15,OR($D15="",19&lt;=$D15)),$E15/12*(1+Assumptions!$B$26),0))</f>
      </c>
      <c r="Y15" s="12">
        <f>IF(OR($A15="",$E15="",$C15=""),0,IF(AND(20&gt;=$C15,OR($D15="",20&lt;=$D15)),$E15/12*(1+Assumptions!$B$26),0))</f>
      </c>
      <c r="Z15" s="12">
        <f>IF(OR($A15="",$E15="",$C15=""),0,IF(AND(21&gt;=$C15,OR($D15="",21&lt;=$D15)),$E15/12*(1+Assumptions!$B$26),0))</f>
      </c>
      <c r="AA15" s="12">
        <f>IF(OR($A15="",$E15="",$C15=""),0,IF(AND(22&gt;=$C15,OR($D15="",22&lt;=$D15)),$E15/12*(1+Assumptions!$B$26),0))</f>
      </c>
      <c r="AB15" s="12">
        <f>IF(OR($A15="",$E15="",$C15=""),0,IF(AND(23&gt;=$C15,OR($D15="",23&lt;=$D15)),$E15/12*(1+Assumptions!$B$26),0))</f>
      </c>
      <c r="AC15" s="12">
        <f>IF(OR($A15="",$E15="",$C15=""),0,IF(AND(24&gt;=$C15,OR($D15="",24&lt;=$D15)),$E15/12*(1+Assumptions!$B$26),0))</f>
      </c>
    </row>
    <row r="16" spans="1:29" x14ac:dyDescent="0.25">
      <c r="A16" s="9" t="s">
        <v>99</v>
      </c>
      <c r="B16" s="9" t="s">
        <v>98</v>
      </c>
      <c r="C16" s="9">
        <v>1</v>
      </c>
      <c r="D16" s="9"/>
      <c r="E16" s="7">
        <v>1300000</v>
      </c>
      <c r="F16" s="12">
        <f>IF(OR($A16="",$E16="",$C16=""),0,IF(AND(1&gt;=$C16,OR($D16="",1&lt;=$D16)),$E16/12*(1+Assumptions!$B$26),0))</f>
      </c>
      <c r="G16" s="12">
        <f>IF(OR($A16="",$E16="",$C16=""),0,IF(AND(2&gt;=$C16,OR($D16="",2&lt;=$D16)),$E16/12*(1+Assumptions!$B$26),0))</f>
      </c>
      <c r="H16" s="12">
        <f>IF(OR($A16="",$E16="",$C16=""),0,IF(AND(3&gt;=$C16,OR($D16="",3&lt;=$D16)),$E16/12*(1+Assumptions!$B$26),0))</f>
      </c>
      <c r="I16" s="12">
        <f>IF(OR($A16="",$E16="",$C16=""),0,IF(AND(4&gt;=$C16,OR($D16="",4&lt;=$D16)),$E16/12*(1+Assumptions!$B$26),0))</f>
      </c>
      <c r="J16" s="12">
        <f>IF(OR($A16="",$E16="",$C16=""),0,IF(AND(5&gt;=$C16,OR($D16="",5&lt;=$D16)),$E16/12*(1+Assumptions!$B$26),0))</f>
      </c>
      <c r="K16" s="12">
        <f>IF(OR($A16="",$E16="",$C16=""),0,IF(AND(6&gt;=$C16,OR($D16="",6&lt;=$D16)),$E16/12*(1+Assumptions!$B$26),0))</f>
      </c>
      <c r="L16" s="12">
        <f>IF(OR($A16="",$E16="",$C16=""),0,IF(AND(7&gt;=$C16,OR($D16="",7&lt;=$D16)),$E16/12*(1+Assumptions!$B$26),0))</f>
      </c>
      <c r="M16" s="12">
        <f>IF(OR($A16="",$E16="",$C16=""),0,IF(AND(8&gt;=$C16,OR($D16="",8&lt;=$D16)),$E16/12*(1+Assumptions!$B$26),0))</f>
      </c>
      <c r="N16" s="12">
        <f>IF(OR($A16="",$E16="",$C16=""),0,IF(AND(9&gt;=$C16,OR($D16="",9&lt;=$D16)),$E16/12*(1+Assumptions!$B$26),0))</f>
      </c>
      <c r="O16" s="12">
        <f>IF(OR($A16="",$E16="",$C16=""),0,IF(AND(10&gt;=$C16,OR($D16="",10&lt;=$D16)),$E16/12*(1+Assumptions!$B$26),0))</f>
      </c>
      <c r="P16" s="12">
        <f>IF(OR($A16="",$E16="",$C16=""),0,IF(AND(11&gt;=$C16,OR($D16="",11&lt;=$D16)),$E16/12*(1+Assumptions!$B$26),0))</f>
      </c>
      <c r="Q16" s="12">
        <f>IF(OR($A16="",$E16="",$C16=""),0,IF(AND(12&gt;=$C16,OR($D16="",12&lt;=$D16)),$E16/12*(1+Assumptions!$B$26),0))</f>
      </c>
      <c r="R16" s="12">
        <f>IF(OR($A16="",$E16="",$C16=""),0,IF(AND(13&gt;=$C16,OR($D16="",13&lt;=$D16)),$E16/12*(1+Assumptions!$B$26),0))</f>
      </c>
      <c r="S16" s="12">
        <f>IF(OR($A16="",$E16="",$C16=""),0,IF(AND(14&gt;=$C16,OR($D16="",14&lt;=$D16)),$E16/12*(1+Assumptions!$B$26),0))</f>
      </c>
      <c r="T16" s="12">
        <f>IF(OR($A16="",$E16="",$C16=""),0,IF(AND(15&gt;=$C16,OR($D16="",15&lt;=$D16)),$E16/12*(1+Assumptions!$B$26),0))</f>
      </c>
      <c r="U16" s="12">
        <f>IF(OR($A16="",$E16="",$C16=""),0,IF(AND(16&gt;=$C16,OR($D16="",16&lt;=$D16)),$E16/12*(1+Assumptions!$B$26),0))</f>
      </c>
      <c r="V16" s="12">
        <f>IF(OR($A16="",$E16="",$C16=""),0,IF(AND(17&gt;=$C16,OR($D16="",17&lt;=$D16)),$E16/12*(1+Assumptions!$B$26),0))</f>
      </c>
      <c r="W16" s="12">
        <f>IF(OR($A16="",$E16="",$C16=""),0,IF(AND(18&gt;=$C16,OR($D16="",18&lt;=$D16)),$E16/12*(1+Assumptions!$B$26),0))</f>
      </c>
      <c r="X16" s="12">
        <f>IF(OR($A16="",$E16="",$C16=""),0,IF(AND(19&gt;=$C16,OR($D16="",19&lt;=$D16)),$E16/12*(1+Assumptions!$B$26),0))</f>
      </c>
      <c r="Y16" s="12">
        <f>IF(OR($A16="",$E16="",$C16=""),0,IF(AND(20&gt;=$C16,OR($D16="",20&lt;=$D16)),$E16/12*(1+Assumptions!$B$26),0))</f>
      </c>
      <c r="Z16" s="12">
        <f>IF(OR($A16="",$E16="",$C16=""),0,IF(AND(21&gt;=$C16,OR($D16="",21&lt;=$D16)),$E16/12*(1+Assumptions!$B$26),0))</f>
      </c>
      <c r="AA16" s="12">
        <f>IF(OR($A16="",$E16="",$C16=""),0,IF(AND(22&gt;=$C16,OR($D16="",22&lt;=$D16)),$E16/12*(1+Assumptions!$B$26),0))</f>
      </c>
      <c r="AB16" s="12">
        <f>IF(OR($A16="",$E16="",$C16=""),0,IF(AND(23&gt;=$C16,OR($D16="",23&lt;=$D16)),$E16/12*(1+Assumptions!$B$26),0))</f>
      </c>
      <c r="AC16" s="12">
        <f>IF(OR($A16="",$E16="",$C16=""),0,IF(AND(24&gt;=$C16,OR($D16="",24&lt;=$D16)),$E16/12*(1+Assumptions!$B$26),0))</f>
      </c>
    </row>
    <row r="17" spans="1:29" x14ac:dyDescent="0.25">
      <c r="A17" s="9" t="s">
        <v>99</v>
      </c>
      <c r="B17" s="9" t="s">
        <v>98</v>
      </c>
      <c r="C17" s="9">
        <v>6</v>
      </c>
      <c r="D17" s="9"/>
      <c r="E17" s="7">
        <v>1300000</v>
      </c>
      <c r="F17" s="12">
        <f>IF(OR($A17="",$E17="",$C17=""),0,IF(AND(1&gt;=$C17,OR($D17="",1&lt;=$D17)),$E17/12*(1+Assumptions!$B$26),0))</f>
      </c>
      <c r="G17" s="12">
        <f>IF(OR($A17="",$E17="",$C17=""),0,IF(AND(2&gt;=$C17,OR($D17="",2&lt;=$D17)),$E17/12*(1+Assumptions!$B$26),0))</f>
      </c>
      <c r="H17" s="12">
        <f>IF(OR($A17="",$E17="",$C17=""),0,IF(AND(3&gt;=$C17,OR($D17="",3&lt;=$D17)),$E17/12*(1+Assumptions!$B$26),0))</f>
      </c>
      <c r="I17" s="12">
        <f>IF(OR($A17="",$E17="",$C17=""),0,IF(AND(4&gt;=$C17,OR($D17="",4&lt;=$D17)),$E17/12*(1+Assumptions!$B$26),0))</f>
      </c>
      <c r="J17" s="12">
        <f>IF(OR($A17="",$E17="",$C17=""),0,IF(AND(5&gt;=$C17,OR($D17="",5&lt;=$D17)),$E17/12*(1+Assumptions!$B$26),0))</f>
      </c>
      <c r="K17" s="12">
        <f>IF(OR($A17="",$E17="",$C17=""),0,IF(AND(6&gt;=$C17,OR($D17="",6&lt;=$D17)),$E17/12*(1+Assumptions!$B$26),0))</f>
      </c>
      <c r="L17" s="12">
        <f>IF(OR($A17="",$E17="",$C17=""),0,IF(AND(7&gt;=$C17,OR($D17="",7&lt;=$D17)),$E17/12*(1+Assumptions!$B$26),0))</f>
      </c>
      <c r="M17" s="12">
        <f>IF(OR($A17="",$E17="",$C17=""),0,IF(AND(8&gt;=$C17,OR($D17="",8&lt;=$D17)),$E17/12*(1+Assumptions!$B$26),0))</f>
      </c>
      <c r="N17" s="12">
        <f>IF(OR($A17="",$E17="",$C17=""),0,IF(AND(9&gt;=$C17,OR($D17="",9&lt;=$D17)),$E17/12*(1+Assumptions!$B$26),0))</f>
      </c>
      <c r="O17" s="12">
        <f>IF(OR($A17="",$E17="",$C17=""),0,IF(AND(10&gt;=$C17,OR($D17="",10&lt;=$D17)),$E17/12*(1+Assumptions!$B$26),0))</f>
      </c>
      <c r="P17" s="12">
        <f>IF(OR($A17="",$E17="",$C17=""),0,IF(AND(11&gt;=$C17,OR($D17="",11&lt;=$D17)),$E17/12*(1+Assumptions!$B$26),0))</f>
      </c>
      <c r="Q17" s="12">
        <f>IF(OR($A17="",$E17="",$C17=""),0,IF(AND(12&gt;=$C17,OR($D17="",12&lt;=$D17)),$E17/12*(1+Assumptions!$B$26),0))</f>
      </c>
      <c r="R17" s="12">
        <f>IF(OR($A17="",$E17="",$C17=""),0,IF(AND(13&gt;=$C17,OR($D17="",13&lt;=$D17)),$E17/12*(1+Assumptions!$B$26),0))</f>
      </c>
      <c r="S17" s="12">
        <f>IF(OR($A17="",$E17="",$C17=""),0,IF(AND(14&gt;=$C17,OR($D17="",14&lt;=$D17)),$E17/12*(1+Assumptions!$B$26),0))</f>
      </c>
      <c r="T17" s="12">
        <f>IF(OR($A17="",$E17="",$C17=""),0,IF(AND(15&gt;=$C17,OR($D17="",15&lt;=$D17)),$E17/12*(1+Assumptions!$B$26),0))</f>
      </c>
      <c r="U17" s="12">
        <f>IF(OR($A17="",$E17="",$C17=""),0,IF(AND(16&gt;=$C17,OR($D17="",16&lt;=$D17)),$E17/12*(1+Assumptions!$B$26),0))</f>
      </c>
      <c r="V17" s="12">
        <f>IF(OR($A17="",$E17="",$C17=""),0,IF(AND(17&gt;=$C17,OR($D17="",17&lt;=$D17)),$E17/12*(1+Assumptions!$B$26),0))</f>
      </c>
      <c r="W17" s="12">
        <f>IF(OR($A17="",$E17="",$C17=""),0,IF(AND(18&gt;=$C17,OR($D17="",18&lt;=$D17)),$E17/12*(1+Assumptions!$B$26),0))</f>
      </c>
      <c r="X17" s="12">
        <f>IF(OR($A17="",$E17="",$C17=""),0,IF(AND(19&gt;=$C17,OR($D17="",19&lt;=$D17)),$E17/12*(1+Assumptions!$B$26),0))</f>
      </c>
      <c r="Y17" s="12">
        <f>IF(OR($A17="",$E17="",$C17=""),0,IF(AND(20&gt;=$C17,OR($D17="",20&lt;=$D17)),$E17/12*(1+Assumptions!$B$26),0))</f>
      </c>
      <c r="Z17" s="12">
        <f>IF(OR($A17="",$E17="",$C17=""),0,IF(AND(21&gt;=$C17,OR($D17="",21&lt;=$D17)),$E17/12*(1+Assumptions!$B$26),0))</f>
      </c>
      <c r="AA17" s="12">
        <f>IF(OR($A17="",$E17="",$C17=""),0,IF(AND(22&gt;=$C17,OR($D17="",22&lt;=$D17)),$E17/12*(1+Assumptions!$B$26),0))</f>
      </c>
      <c r="AB17" s="12">
        <f>IF(OR($A17="",$E17="",$C17=""),0,IF(AND(23&gt;=$C17,OR($D17="",23&lt;=$D17)),$E17/12*(1+Assumptions!$B$26),0))</f>
      </c>
      <c r="AC17" s="12">
        <f>IF(OR($A17="",$E17="",$C17=""),0,IF(AND(24&gt;=$C17,OR($D17="",24&lt;=$D17)),$E17/12*(1+Assumptions!$B$26),0))</f>
      </c>
    </row>
    <row r="18" spans="1:29" x14ac:dyDescent="0.25">
      <c r="A18" s="9" t="s">
        <v>100</v>
      </c>
      <c r="B18" s="9" t="s">
        <v>86</v>
      </c>
      <c r="C18" s="9">
        <v>1</v>
      </c>
      <c r="D18" s="9"/>
      <c r="E18" s="7">
        <v>1400000</v>
      </c>
      <c r="F18" s="12">
        <f>IF(OR($A18="",$E18="",$C18=""),0,IF(AND(1&gt;=$C18,OR($D18="",1&lt;=$D18)),$E18/12*(1+Assumptions!$B$26),0))</f>
      </c>
      <c r="G18" s="12">
        <f>IF(OR($A18="",$E18="",$C18=""),0,IF(AND(2&gt;=$C18,OR($D18="",2&lt;=$D18)),$E18/12*(1+Assumptions!$B$26),0))</f>
      </c>
      <c r="H18" s="12">
        <f>IF(OR($A18="",$E18="",$C18=""),0,IF(AND(3&gt;=$C18,OR($D18="",3&lt;=$D18)),$E18/12*(1+Assumptions!$B$26),0))</f>
      </c>
      <c r="I18" s="12">
        <f>IF(OR($A18="",$E18="",$C18=""),0,IF(AND(4&gt;=$C18,OR($D18="",4&lt;=$D18)),$E18/12*(1+Assumptions!$B$26),0))</f>
      </c>
      <c r="J18" s="12">
        <f>IF(OR($A18="",$E18="",$C18=""),0,IF(AND(5&gt;=$C18,OR($D18="",5&lt;=$D18)),$E18/12*(1+Assumptions!$B$26),0))</f>
      </c>
      <c r="K18" s="12">
        <f>IF(OR($A18="",$E18="",$C18=""),0,IF(AND(6&gt;=$C18,OR($D18="",6&lt;=$D18)),$E18/12*(1+Assumptions!$B$26),0))</f>
      </c>
      <c r="L18" s="12">
        <f>IF(OR($A18="",$E18="",$C18=""),0,IF(AND(7&gt;=$C18,OR($D18="",7&lt;=$D18)),$E18/12*(1+Assumptions!$B$26),0))</f>
      </c>
      <c r="M18" s="12">
        <f>IF(OR($A18="",$E18="",$C18=""),0,IF(AND(8&gt;=$C18,OR($D18="",8&lt;=$D18)),$E18/12*(1+Assumptions!$B$26),0))</f>
      </c>
      <c r="N18" s="12">
        <f>IF(OR($A18="",$E18="",$C18=""),0,IF(AND(9&gt;=$C18,OR($D18="",9&lt;=$D18)),$E18/12*(1+Assumptions!$B$26),0))</f>
      </c>
      <c r="O18" s="12">
        <f>IF(OR($A18="",$E18="",$C18=""),0,IF(AND(10&gt;=$C18,OR($D18="",10&lt;=$D18)),$E18/12*(1+Assumptions!$B$26),0))</f>
      </c>
      <c r="P18" s="12">
        <f>IF(OR($A18="",$E18="",$C18=""),0,IF(AND(11&gt;=$C18,OR($D18="",11&lt;=$D18)),$E18/12*(1+Assumptions!$B$26),0))</f>
      </c>
      <c r="Q18" s="12">
        <f>IF(OR($A18="",$E18="",$C18=""),0,IF(AND(12&gt;=$C18,OR($D18="",12&lt;=$D18)),$E18/12*(1+Assumptions!$B$26),0))</f>
      </c>
      <c r="R18" s="12">
        <f>IF(OR($A18="",$E18="",$C18=""),0,IF(AND(13&gt;=$C18,OR($D18="",13&lt;=$D18)),$E18/12*(1+Assumptions!$B$26),0))</f>
      </c>
      <c r="S18" s="12">
        <f>IF(OR($A18="",$E18="",$C18=""),0,IF(AND(14&gt;=$C18,OR($D18="",14&lt;=$D18)),$E18/12*(1+Assumptions!$B$26),0))</f>
      </c>
      <c r="T18" s="12">
        <f>IF(OR($A18="",$E18="",$C18=""),0,IF(AND(15&gt;=$C18,OR($D18="",15&lt;=$D18)),$E18/12*(1+Assumptions!$B$26),0))</f>
      </c>
      <c r="U18" s="12">
        <f>IF(OR($A18="",$E18="",$C18=""),0,IF(AND(16&gt;=$C18,OR($D18="",16&lt;=$D18)),$E18/12*(1+Assumptions!$B$26),0))</f>
      </c>
      <c r="V18" s="12">
        <f>IF(OR($A18="",$E18="",$C18=""),0,IF(AND(17&gt;=$C18,OR($D18="",17&lt;=$D18)),$E18/12*(1+Assumptions!$B$26),0))</f>
      </c>
      <c r="W18" s="12">
        <f>IF(OR($A18="",$E18="",$C18=""),0,IF(AND(18&gt;=$C18,OR($D18="",18&lt;=$D18)),$E18/12*(1+Assumptions!$B$26),0))</f>
      </c>
      <c r="X18" s="12">
        <f>IF(OR($A18="",$E18="",$C18=""),0,IF(AND(19&gt;=$C18,OR($D18="",19&lt;=$D18)),$E18/12*(1+Assumptions!$B$26),0))</f>
      </c>
      <c r="Y18" s="12">
        <f>IF(OR($A18="",$E18="",$C18=""),0,IF(AND(20&gt;=$C18,OR($D18="",20&lt;=$D18)),$E18/12*(1+Assumptions!$B$26),0))</f>
      </c>
      <c r="Z18" s="12">
        <f>IF(OR($A18="",$E18="",$C18=""),0,IF(AND(21&gt;=$C18,OR($D18="",21&lt;=$D18)),$E18/12*(1+Assumptions!$B$26),0))</f>
      </c>
      <c r="AA18" s="12">
        <f>IF(OR($A18="",$E18="",$C18=""),0,IF(AND(22&gt;=$C18,OR($D18="",22&lt;=$D18)),$E18/12*(1+Assumptions!$B$26),0))</f>
      </c>
      <c r="AB18" s="12">
        <f>IF(OR($A18="",$E18="",$C18=""),0,IF(AND(23&gt;=$C18,OR($D18="",23&lt;=$D18)),$E18/12*(1+Assumptions!$B$26),0))</f>
      </c>
      <c r="AC18" s="12">
        <f>IF(OR($A18="",$E18="",$C18=""),0,IF(AND(24&gt;=$C18,OR($D18="",24&lt;=$D18)),$E18/12*(1+Assumptions!$B$26),0))</f>
      </c>
    </row>
    <row r="19" spans="1:29" x14ac:dyDescent="0.25">
      <c r="A19" s="9" t="s">
        <v>101</v>
      </c>
      <c r="B19" s="9" t="s">
        <v>88</v>
      </c>
      <c r="C19" s="9">
        <v>8</v>
      </c>
      <c r="D19" s="9"/>
      <c r="E19" s="7">
        <v>2800000</v>
      </c>
      <c r="F19" s="12">
        <f>IF(OR($A19="",$E19="",$C19=""),0,IF(AND(1&gt;=$C19,OR($D19="",1&lt;=$D19)),$E19/12*(1+Assumptions!$B$26),0))</f>
      </c>
      <c r="G19" s="12">
        <f>IF(OR($A19="",$E19="",$C19=""),0,IF(AND(2&gt;=$C19,OR($D19="",2&lt;=$D19)),$E19/12*(1+Assumptions!$B$26),0))</f>
      </c>
      <c r="H19" s="12">
        <f>IF(OR($A19="",$E19="",$C19=""),0,IF(AND(3&gt;=$C19,OR($D19="",3&lt;=$D19)),$E19/12*(1+Assumptions!$B$26),0))</f>
      </c>
      <c r="I19" s="12">
        <f>IF(OR($A19="",$E19="",$C19=""),0,IF(AND(4&gt;=$C19,OR($D19="",4&lt;=$D19)),$E19/12*(1+Assumptions!$B$26),0))</f>
      </c>
      <c r="J19" s="12">
        <f>IF(OR($A19="",$E19="",$C19=""),0,IF(AND(5&gt;=$C19,OR($D19="",5&lt;=$D19)),$E19/12*(1+Assumptions!$B$26),0))</f>
      </c>
      <c r="K19" s="12">
        <f>IF(OR($A19="",$E19="",$C19=""),0,IF(AND(6&gt;=$C19,OR($D19="",6&lt;=$D19)),$E19/12*(1+Assumptions!$B$26),0))</f>
      </c>
      <c r="L19" s="12">
        <f>IF(OR($A19="",$E19="",$C19=""),0,IF(AND(7&gt;=$C19,OR($D19="",7&lt;=$D19)),$E19/12*(1+Assumptions!$B$26),0))</f>
      </c>
      <c r="M19" s="12">
        <f>IF(OR($A19="",$E19="",$C19=""),0,IF(AND(8&gt;=$C19,OR($D19="",8&lt;=$D19)),$E19/12*(1+Assumptions!$B$26),0))</f>
      </c>
      <c r="N19" s="12">
        <f>IF(OR($A19="",$E19="",$C19=""),0,IF(AND(9&gt;=$C19,OR($D19="",9&lt;=$D19)),$E19/12*(1+Assumptions!$B$26),0))</f>
      </c>
      <c r="O19" s="12">
        <f>IF(OR($A19="",$E19="",$C19=""),0,IF(AND(10&gt;=$C19,OR($D19="",10&lt;=$D19)),$E19/12*(1+Assumptions!$B$26),0))</f>
      </c>
      <c r="P19" s="12">
        <f>IF(OR($A19="",$E19="",$C19=""),0,IF(AND(11&gt;=$C19,OR($D19="",11&lt;=$D19)),$E19/12*(1+Assumptions!$B$26),0))</f>
      </c>
      <c r="Q19" s="12">
        <f>IF(OR($A19="",$E19="",$C19=""),0,IF(AND(12&gt;=$C19,OR($D19="",12&lt;=$D19)),$E19/12*(1+Assumptions!$B$26),0))</f>
      </c>
      <c r="R19" s="12">
        <f>IF(OR($A19="",$E19="",$C19=""),0,IF(AND(13&gt;=$C19,OR($D19="",13&lt;=$D19)),$E19/12*(1+Assumptions!$B$26),0))</f>
      </c>
      <c r="S19" s="12">
        <f>IF(OR($A19="",$E19="",$C19=""),0,IF(AND(14&gt;=$C19,OR($D19="",14&lt;=$D19)),$E19/12*(1+Assumptions!$B$26),0))</f>
      </c>
      <c r="T19" s="12">
        <f>IF(OR($A19="",$E19="",$C19=""),0,IF(AND(15&gt;=$C19,OR($D19="",15&lt;=$D19)),$E19/12*(1+Assumptions!$B$26),0))</f>
      </c>
      <c r="U19" s="12">
        <f>IF(OR($A19="",$E19="",$C19=""),0,IF(AND(16&gt;=$C19,OR($D19="",16&lt;=$D19)),$E19/12*(1+Assumptions!$B$26),0))</f>
      </c>
      <c r="V19" s="12">
        <f>IF(OR($A19="",$E19="",$C19=""),0,IF(AND(17&gt;=$C19,OR($D19="",17&lt;=$D19)),$E19/12*(1+Assumptions!$B$26),0))</f>
      </c>
      <c r="W19" s="12">
        <f>IF(OR($A19="",$E19="",$C19=""),0,IF(AND(18&gt;=$C19,OR($D19="",18&lt;=$D19)),$E19/12*(1+Assumptions!$B$26),0))</f>
      </c>
      <c r="X19" s="12">
        <f>IF(OR($A19="",$E19="",$C19=""),0,IF(AND(19&gt;=$C19,OR($D19="",19&lt;=$D19)),$E19/12*(1+Assumptions!$B$26),0))</f>
      </c>
      <c r="Y19" s="12">
        <f>IF(OR($A19="",$E19="",$C19=""),0,IF(AND(20&gt;=$C19,OR($D19="",20&lt;=$D19)),$E19/12*(1+Assumptions!$B$26),0))</f>
      </c>
      <c r="Z19" s="12">
        <f>IF(OR($A19="",$E19="",$C19=""),0,IF(AND(21&gt;=$C19,OR($D19="",21&lt;=$D19)),$E19/12*(1+Assumptions!$B$26),0))</f>
      </c>
      <c r="AA19" s="12">
        <f>IF(OR($A19="",$E19="",$C19=""),0,IF(AND(22&gt;=$C19,OR($D19="",22&lt;=$D19)),$E19/12*(1+Assumptions!$B$26),0))</f>
      </c>
      <c r="AB19" s="12">
        <f>IF(OR($A19="",$E19="",$C19=""),0,IF(AND(23&gt;=$C19,OR($D19="",23&lt;=$D19)),$E19/12*(1+Assumptions!$B$26),0))</f>
      </c>
      <c r="AC19" s="12">
        <f>IF(OR($A19="",$E19="",$C19=""),0,IF(AND(24&gt;=$C19,OR($D19="",24&lt;=$D19)),$E19/12*(1+Assumptions!$B$26),0))</f>
      </c>
    </row>
    <row r="20" spans="1:29" x14ac:dyDescent="0.25">
      <c r="A20" s="9" t="s">
        <v>102</v>
      </c>
      <c r="B20" s="9" t="s">
        <v>93</v>
      </c>
      <c r="C20" s="9">
        <v>10</v>
      </c>
      <c r="D20" s="9"/>
      <c r="E20" s="7">
        <v>1500000</v>
      </c>
      <c r="F20" s="12">
        <f>IF(OR($A20="",$E20="",$C20=""),0,IF(AND(1&gt;=$C20,OR($D20="",1&lt;=$D20)),$E20/12*(1+Assumptions!$B$26),0))</f>
      </c>
      <c r="G20" s="12">
        <f>IF(OR($A20="",$E20="",$C20=""),0,IF(AND(2&gt;=$C20,OR($D20="",2&lt;=$D20)),$E20/12*(1+Assumptions!$B$26),0))</f>
      </c>
      <c r="H20" s="12">
        <f>IF(OR($A20="",$E20="",$C20=""),0,IF(AND(3&gt;=$C20,OR($D20="",3&lt;=$D20)),$E20/12*(1+Assumptions!$B$26),0))</f>
      </c>
      <c r="I20" s="12">
        <f>IF(OR($A20="",$E20="",$C20=""),0,IF(AND(4&gt;=$C20,OR($D20="",4&lt;=$D20)),$E20/12*(1+Assumptions!$B$26),0))</f>
      </c>
      <c r="J20" s="12">
        <f>IF(OR($A20="",$E20="",$C20=""),0,IF(AND(5&gt;=$C20,OR($D20="",5&lt;=$D20)),$E20/12*(1+Assumptions!$B$26),0))</f>
      </c>
      <c r="K20" s="12">
        <f>IF(OR($A20="",$E20="",$C20=""),0,IF(AND(6&gt;=$C20,OR($D20="",6&lt;=$D20)),$E20/12*(1+Assumptions!$B$26),0))</f>
      </c>
      <c r="L20" s="12">
        <f>IF(OR($A20="",$E20="",$C20=""),0,IF(AND(7&gt;=$C20,OR($D20="",7&lt;=$D20)),$E20/12*(1+Assumptions!$B$26),0))</f>
      </c>
      <c r="M20" s="12">
        <f>IF(OR($A20="",$E20="",$C20=""),0,IF(AND(8&gt;=$C20,OR($D20="",8&lt;=$D20)),$E20/12*(1+Assumptions!$B$26),0))</f>
      </c>
      <c r="N20" s="12">
        <f>IF(OR($A20="",$E20="",$C20=""),0,IF(AND(9&gt;=$C20,OR($D20="",9&lt;=$D20)),$E20/12*(1+Assumptions!$B$26),0))</f>
      </c>
      <c r="O20" s="12">
        <f>IF(OR($A20="",$E20="",$C20=""),0,IF(AND(10&gt;=$C20,OR($D20="",10&lt;=$D20)),$E20/12*(1+Assumptions!$B$26),0))</f>
      </c>
      <c r="P20" s="12">
        <f>IF(OR($A20="",$E20="",$C20=""),0,IF(AND(11&gt;=$C20,OR($D20="",11&lt;=$D20)),$E20/12*(1+Assumptions!$B$26),0))</f>
      </c>
      <c r="Q20" s="12">
        <f>IF(OR($A20="",$E20="",$C20=""),0,IF(AND(12&gt;=$C20,OR($D20="",12&lt;=$D20)),$E20/12*(1+Assumptions!$B$26),0))</f>
      </c>
      <c r="R20" s="12">
        <f>IF(OR($A20="",$E20="",$C20=""),0,IF(AND(13&gt;=$C20,OR($D20="",13&lt;=$D20)),$E20/12*(1+Assumptions!$B$26),0))</f>
      </c>
      <c r="S20" s="12">
        <f>IF(OR($A20="",$E20="",$C20=""),0,IF(AND(14&gt;=$C20,OR($D20="",14&lt;=$D20)),$E20/12*(1+Assumptions!$B$26),0))</f>
      </c>
      <c r="T20" s="12">
        <f>IF(OR($A20="",$E20="",$C20=""),0,IF(AND(15&gt;=$C20,OR($D20="",15&lt;=$D20)),$E20/12*(1+Assumptions!$B$26),0))</f>
      </c>
      <c r="U20" s="12">
        <f>IF(OR($A20="",$E20="",$C20=""),0,IF(AND(16&gt;=$C20,OR($D20="",16&lt;=$D20)),$E20/12*(1+Assumptions!$B$26),0))</f>
      </c>
      <c r="V20" s="12">
        <f>IF(OR($A20="",$E20="",$C20=""),0,IF(AND(17&gt;=$C20,OR($D20="",17&lt;=$D20)),$E20/12*(1+Assumptions!$B$26),0))</f>
      </c>
      <c r="W20" s="12">
        <f>IF(OR($A20="",$E20="",$C20=""),0,IF(AND(18&gt;=$C20,OR($D20="",18&lt;=$D20)),$E20/12*(1+Assumptions!$B$26),0))</f>
      </c>
      <c r="X20" s="12">
        <f>IF(OR($A20="",$E20="",$C20=""),0,IF(AND(19&gt;=$C20,OR($D20="",19&lt;=$D20)),$E20/12*(1+Assumptions!$B$26),0))</f>
      </c>
      <c r="Y20" s="12">
        <f>IF(OR($A20="",$E20="",$C20=""),0,IF(AND(20&gt;=$C20,OR($D20="",20&lt;=$D20)),$E20/12*(1+Assumptions!$B$26),0))</f>
      </c>
      <c r="Z20" s="12">
        <f>IF(OR($A20="",$E20="",$C20=""),0,IF(AND(21&gt;=$C20,OR($D20="",21&lt;=$D20)),$E20/12*(1+Assumptions!$B$26),0))</f>
      </c>
      <c r="AA20" s="12">
        <f>IF(OR($A20="",$E20="",$C20=""),0,IF(AND(22&gt;=$C20,OR($D20="",22&lt;=$D20)),$E20/12*(1+Assumptions!$B$26),0))</f>
      </c>
      <c r="AB20" s="12">
        <f>IF(OR($A20="",$E20="",$C20=""),0,IF(AND(23&gt;=$C20,OR($D20="",23&lt;=$D20)),$E20/12*(1+Assumptions!$B$26),0))</f>
      </c>
      <c r="AC20" s="12">
        <f>IF(OR($A20="",$E20="",$C20=""),0,IF(AND(24&gt;=$C20,OR($D20="",24&lt;=$D20)),$E20/12*(1+Assumptions!$B$26),0))</f>
      </c>
    </row>
    <row r="21" spans="1:29" x14ac:dyDescent="0.25">
      <c r="A21" s="9" t="s">
        <v>103</v>
      </c>
      <c r="B21" s="9" t="s">
        <v>88</v>
      </c>
      <c r="C21" s="9">
        <v>14</v>
      </c>
      <c r="D21" s="9"/>
      <c r="E21" s="7">
        <v>3000000</v>
      </c>
      <c r="F21" s="12">
        <f>IF(OR($A21="",$E21="",$C21=""),0,IF(AND(1&gt;=$C21,OR($D21="",1&lt;=$D21)),$E21/12*(1+Assumptions!$B$26),0))</f>
      </c>
      <c r="G21" s="12">
        <f>IF(OR($A21="",$E21="",$C21=""),0,IF(AND(2&gt;=$C21,OR($D21="",2&lt;=$D21)),$E21/12*(1+Assumptions!$B$26),0))</f>
      </c>
      <c r="H21" s="12">
        <f>IF(OR($A21="",$E21="",$C21=""),0,IF(AND(3&gt;=$C21,OR($D21="",3&lt;=$D21)),$E21/12*(1+Assumptions!$B$26),0))</f>
      </c>
      <c r="I21" s="12">
        <f>IF(OR($A21="",$E21="",$C21=""),0,IF(AND(4&gt;=$C21,OR($D21="",4&lt;=$D21)),$E21/12*(1+Assumptions!$B$26),0))</f>
      </c>
      <c r="J21" s="12">
        <f>IF(OR($A21="",$E21="",$C21=""),0,IF(AND(5&gt;=$C21,OR($D21="",5&lt;=$D21)),$E21/12*(1+Assumptions!$B$26),0))</f>
      </c>
      <c r="K21" s="12">
        <f>IF(OR($A21="",$E21="",$C21=""),0,IF(AND(6&gt;=$C21,OR($D21="",6&lt;=$D21)),$E21/12*(1+Assumptions!$B$26),0))</f>
      </c>
      <c r="L21" s="12">
        <f>IF(OR($A21="",$E21="",$C21=""),0,IF(AND(7&gt;=$C21,OR($D21="",7&lt;=$D21)),$E21/12*(1+Assumptions!$B$26),0))</f>
      </c>
      <c r="M21" s="12">
        <f>IF(OR($A21="",$E21="",$C21=""),0,IF(AND(8&gt;=$C21,OR($D21="",8&lt;=$D21)),$E21/12*(1+Assumptions!$B$26),0))</f>
      </c>
      <c r="N21" s="12">
        <f>IF(OR($A21="",$E21="",$C21=""),0,IF(AND(9&gt;=$C21,OR($D21="",9&lt;=$D21)),$E21/12*(1+Assumptions!$B$26),0))</f>
      </c>
      <c r="O21" s="12">
        <f>IF(OR($A21="",$E21="",$C21=""),0,IF(AND(10&gt;=$C21,OR($D21="",10&lt;=$D21)),$E21/12*(1+Assumptions!$B$26),0))</f>
      </c>
      <c r="P21" s="12">
        <f>IF(OR($A21="",$E21="",$C21=""),0,IF(AND(11&gt;=$C21,OR($D21="",11&lt;=$D21)),$E21/12*(1+Assumptions!$B$26),0))</f>
      </c>
      <c r="Q21" s="12">
        <f>IF(OR($A21="",$E21="",$C21=""),0,IF(AND(12&gt;=$C21,OR($D21="",12&lt;=$D21)),$E21/12*(1+Assumptions!$B$26),0))</f>
      </c>
      <c r="R21" s="12">
        <f>IF(OR($A21="",$E21="",$C21=""),0,IF(AND(13&gt;=$C21,OR($D21="",13&lt;=$D21)),$E21/12*(1+Assumptions!$B$26),0))</f>
      </c>
      <c r="S21" s="12">
        <f>IF(OR($A21="",$E21="",$C21=""),0,IF(AND(14&gt;=$C21,OR($D21="",14&lt;=$D21)),$E21/12*(1+Assumptions!$B$26),0))</f>
      </c>
      <c r="T21" s="12">
        <f>IF(OR($A21="",$E21="",$C21=""),0,IF(AND(15&gt;=$C21,OR($D21="",15&lt;=$D21)),$E21/12*(1+Assumptions!$B$26),0))</f>
      </c>
      <c r="U21" s="12">
        <f>IF(OR($A21="",$E21="",$C21=""),0,IF(AND(16&gt;=$C21,OR($D21="",16&lt;=$D21)),$E21/12*(1+Assumptions!$B$26),0))</f>
      </c>
      <c r="V21" s="12">
        <f>IF(OR($A21="",$E21="",$C21=""),0,IF(AND(17&gt;=$C21,OR($D21="",17&lt;=$D21)),$E21/12*(1+Assumptions!$B$26),0))</f>
      </c>
      <c r="W21" s="12">
        <f>IF(OR($A21="",$E21="",$C21=""),0,IF(AND(18&gt;=$C21,OR($D21="",18&lt;=$D21)),$E21/12*(1+Assumptions!$B$26),0))</f>
      </c>
      <c r="X21" s="12">
        <f>IF(OR($A21="",$E21="",$C21=""),0,IF(AND(19&gt;=$C21,OR($D21="",19&lt;=$D21)),$E21/12*(1+Assumptions!$B$26),0))</f>
      </c>
      <c r="Y21" s="12">
        <f>IF(OR($A21="",$E21="",$C21=""),0,IF(AND(20&gt;=$C21,OR($D21="",20&lt;=$D21)),$E21/12*(1+Assumptions!$B$26),0))</f>
      </c>
      <c r="Z21" s="12">
        <f>IF(OR($A21="",$E21="",$C21=""),0,IF(AND(21&gt;=$C21,OR($D21="",21&lt;=$D21)),$E21/12*(1+Assumptions!$B$26),0))</f>
      </c>
      <c r="AA21" s="12">
        <f>IF(OR($A21="",$E21="",$C21=""),0,IF(AND(22&gt;=$C21,OR($D21="",22&lt;=$D21)),$E21/12*(1+Assumptions!$B$26),0))</f>
      </c>
      <c r="AB21" s="12">
        <f>IF(OR($A21="",$E21="",$C21=""),0,IF(AND(23&gt;=$C21,OR($D21="",23&lt;=$D21)),$E21/12*(1+Assumptions!$B$26),0))</f>
      </c>
      <c r="AC21" s="12">
        <f>IF(OR($A21="",$E21="",$C21=""),0,IF(AND(24&gt;=$C21,OR($D21="",24&lt;=$D21)),$E21/12*(1+Assumptions!$B$26),0))</f>
      </c>
    </row>
    <row r="22" spans="1:29" x14ac:dyDescent="0.25">
      <c r="A22" s="9"/>
      <c r="B22" s="9"/>
      <c r="C22" s="9"/>
      <c r="D22" s="9"/>
      <c r="E22" s="7"/>
      <c r="F22" s="12">
        <f>IF(OR($A22="",$E22="",$C22=""),0,IF(AND(1&gt;=$C22,OR($D22="",1&lt;=$D22)),$E22/12*(1+Assumptions!$B$26),0))</f>
      </c>
      <c r="G22" s="12">
        <f>IF(OR($A22="",$E22="",$C22=""),0,IF(AND(2&gt;=$C22,OR($D22="",2&lt;=$D22)),$E22/12*(1+Assumptions!$B$26),0))</f>
      </c>
      <c r="H22" s="12">
        <f>IF(OR($A22="",$E22="",$C22=""),0,IF(AND(3&gt;=$C22,OR($D22="",3&lt;=$D22)),$E22/12*(1+Assumptions!$B$26),0))</f>
      </c>
      <c r="I22" s="12">
        <f>IF(OR($A22="",$E22="",$C22=""),0,IF(AND(4&gt;=$C22,OR($D22="",4&lt;=$D22)),$E22/12*(1+Assumptions!$B$26),0))</f>
      </c>
      <c r="J22" s="12">
        <f>IF(OR($A22="",$E22="",$C22=""),0,IF(AND(5&gt;=$C22,OR($D22="",5&lt;=$D22)),$E22/12*(1+Assumptions!$B$26),0))</f>
      </c>
      <c r="K22" s="12">
        <f>IF(OR($A22="",$E22="",$C22=""),0,IF(AND(6&gt;=$C22,OR($D22="",6&lt;=$D22)),$E22/12*(1+Assumptions!$B$26),0))</f>
      </c>
      <c r="L22" s="12">
        <f>IF(OR($A22="",$E22="",$C22=""),0,IF(AND(7&gt;=$C22,OR($D22="",7&lt;=$D22)),$E22/12*(1+Assumptions!$B$26),0))</f>
      </c>
      <c r="M22" s="12">
        <f>IF(OR($A22="",$E22="",$C22=""),0,IF(AND(8&gt;=$C22,OR($D22="",8&lt;=$D22)),$E22/12*(1+Assumptions!$B$26),0))</f>
      </c>
      <c r="N22" s="12">
        <f>IF(OR($A22="",$E22="",$C22=""),0,IF(AND(9&gt;=$C22,OR($D22="",9&lt;=$D22)),$E22/12*(1+Assumptions!$B$26),0))</f>
      </c>
      <c r="O22" s="12">
        <f>IF(OR($A22="",$E22="",$C22=""),0,IF(AND(10&gt;=$C22,OR($D22="",10&lt;=$D22)),$E22/12*(1+Assumptions!$B$26),0))</f>
      </c>
      <c r="P22" s="12">
        <f>IF(OR($A22="",$E22="",$C22=""),0,IF(AND(11&gt;=$C22,OR($D22="",11&lt;=$D22)),$E22/12*(1+Assumptions!$B$26),0))</f>
      </c>
      <c r="Q22" s="12">
        <f>IF(OR($A22="",$E22="",$C22=""),0,IF(AND(12&gt;=$C22,OR($D22="",12&lt;=$D22)),$E22/12*(1+Assumptions!$B$26),0))</f>
      </c>
      <c r="R22" s="12">
        <f>IF(OR($A22="",$E22="",$C22=""),0,IF(AND(13&gt;=$C22,OR($D22="",13&lt;=$D22)),$E22/12*(1+Assumptions!$B$26),0))</f>
      </c>
      <c r="S22" s="12">
        <f>IF(OR($A22="",$E22="",$C22=""),0,IF(AND(14&gt;=$C22,OR($D22="",14&lt;=$D22)),$E22/12*(1+Assumptions!$B$26),0))</f>
      </c>
      <c r="T22" s="12">
        <f>IF(OR($A22="",$E22="",$C22=""),0,IF(AND(15&gt;=$C22,OR($D22="",15&lt;=$D22)),$E22/12*(1+Assumptions!$B$26),0))</f>
      </c>
      <c r="U22" s="12">
        <f>IF(OR($A22="",$E22="",$C22=""),0,IF(AND(16&gt;=$C22,OR($D22="",16&lt;=$D22)),$E22/12*(1+Assumptions!$B$26),0))</f>
      </c>
      <c r="V22" s="12">
        <f>IF(OR($A22="",$E22="",$C22=""),0,IF(AND(17&gt;=$C22,OR($D22="",17&lt;=$D22)),$E22/12*(1+Assumptions!$B$26),0))</f>
      </c>
      <c r="W22" s="12">
        <f>IF(OR($A22="",$E22="",$C22=""),0,IF(AND(18&gt;=$C22,OR($D22="",18&lt;=$D22)),$E22/12*(1+Assumptions!$B$26),0))</f>
      </c>
      <c r="X22" s="12">
        <f>IF(OR($A22="",$E22="",$C22=""),0,IF(AND(19&gt;=$C22,OR($D22="",19&lt;=$D22)),$E22/12*(1+Assumptions!$B$26),0))</f>
      </c>
      <c r="Y22" s="12">
        <f>IF(OR($A22="",$E22="",$C22=""),0,IF(AND(20&gt;=$C22,OR($D22="",20&lt;=$D22)),$E22/12*(1+Assumptions!$B$26),0))</f>
      </c>
      <c r="Z22" s="12">
        <f>IF(OR($A22="",$E22="",$C22=""),0,IF(AND(21&gt;=$C22,OR($D22="",21&lt;=$D22)),$E22/12*(1+Assumptions!$B$26),0))</f>
      </c>
      <c r="AA22" s="12">
        <f>IF(OR($A22="",$E22="",$C22=""),0,IF(AND(22&gt;=$C22,OR($D22="",22&lt;=$D22)),$E22/12*(1+Assumptions!$B$26),0))</f>
      </c>
      <c r="AB22" s="12">
        <f>IF(OR($A22="",$E22="",$C22=""),0,IF(AND(23&gt;=$C22,OR($D22="",23&lt;=$D22)),$E22/12*(1+Assumptions!$B$26),0))</f>
      </c>
      <c r="AC22" s="12">
        <f>IF(OR($A22="",$E22="",$C22=""),0,IF(AND(24&gt;=$C22,OR($D22="",24&lt;=$D22)),$E22/12*(1+Assumptions!$B$26),0))</f>
      </c>
    </row>
    <row r="23" spans="1:29" x14ac:dyDescent="0.25">
      <c r="A23" s="9"/>
      <c r="B23" s="9"/>
      <c r="C23" s="9"/>
      <c r="D23" s="9"/>
      <c r="E23" s="7"/>
      <c r="F23" s="12">
        <f>IF(OR($A23="",$E23="",$C23=""),0,IF(AND(1&gt;=$C23,OR($D23="",1&lt;=$D23)),$E23/12*(1+Assumptions!$B$26),0))</f>
      </c>
      <c r="G23" s="12">
        <f>IF(OR($A23="",$E23="",$C23=""),0,IF(AND(2&gt;=$C23,OR($D23="",2&lt;=$D23)),$E23/12*(1+Assumptions!$B$26),0))</f>
      </c>
      <c r="H23" s="12">
        <f>IF(OR($A23="",$E23="",$C23=""),0,IF(AND(3&gt;=$C23,OR($D23="",3&lt;=$D23)),$E23/12*(1+Assumptions!$B$26),0))</f>
      </c>
      <c r="I23" s="12">
        <f>IF(OR($A23="",$E23="",$C23=""),0,IF(AND(4&gt;=$C23,OR($D23="",4&lt;=$D23)),$E23/12*(1+Assumptions!$B$26),0))</f>
      </c>
      <c r="J23" s="12">
        <f>IF(OR($A23="",$E23="",$C23=""),0,IF(AND(5&gt;=$C23,OR($D23="",5&lt;=$D23)),$E23/12*(1+Assumptions!$B$26),0))</f>
      </c>
      <c r="K23" s="12">
        <f>IF(OR($A23="",$E23="",$C23=""),0,IF(AND(6&gt;=$C23,OR($D23="",6&lt;=$D23)),$E23/12*(1+Assumptions!$B$26),0))</f>
      </c>
      <c r="L23" s="12">
        <f>IF(OR($A23="",$E23="",$C23=""),0,IF(AND(7&gt;=$C23,OR($D23="",7&lt;=$D23)),$E23/12*(1+Assumptions!$B$26),0))</f>
      </c>
      <c r="M23" s="12">
        <f>IF(OR($A23="",$E23="",$C23=""),0,IF(AND(8&gt;=$C23,OR($D23="",8&lt;=$D23)),$E23/12*(1+Assumptions!$B$26),0))</f>
      </c>
      <c r="N23" s="12">
        <f>IF(OR($A23="",$E23="",$C23=""),0,IF(AND(9&gt;=$C23,OR($D23="",9&lt;=$D23)),$E23/12*(1+Assumptions!$B$26),0))</f>
      </c>
      <c r="O23" s="12">
        <f>IF(OR($A23="",$E23="",$C23=""),0,IF(AND(10&gt;=$C23,OR($D23="",10&lt;=$D23)),$E23/12*(1+Assumptions!$B$26),0))</f>
      </c>
      <c r="P23" s="12">
        <f>IF(OR($A23="",$E23="",$C23=""),0,IF(AND(11&gt;=$C23,OR($D23="",11&lt;=$D23)),$E23/12*(1+Assumptions!$B$26),0))</f>
      </c>
      <c r="Q23" s="12">
        <f>IF(OR($A23="",$E23="",$C23=""),0,IF(AND(12&gt;=$C23,OR($D23="",12&lt;=$D23)),$E23/12*(1+Assumptions!$B$26),0))</f>
      </c>
      <c r="R23" s="12">
        <f>IF(OR($A23="",$E23="",$C23=""),0,IF(AND(13&gt;=$C23,OR($D23="",13&lt;=$D23)),$E23/12*(1+Assumptions!$B$26),0))</f>
      </c>
      <c r="S23" s="12">
        <f>IF(OR($A23="",$E23="",$C23=""),0,IF(AND(14&gt;=$C23,OR($D23="",14&lt;=$D23)),$E23/12*(1+Assumptions!$B$26),0))</f>
      </c>
      <c r="T23" s="12">
        <f>IF(OR($A23="",$E23="",$C23=""),0,IF(AND(15&gt;=$C23,OR($D23="",15&lt;=$D23)),$E23/12*(1+Assumptions!$B$26),0))</f>
      </c>
      <c r="U23" s="12">
        <f>IF(OR($A23="",$E23="",$C23=""),0,IF(AND(16&gt;=$C23,OR($D23="",16&lt;=$D23)),$E23/12*(1+Assumptions!$B$26),0))</f>
      </c>
      <c r="V23" s="12">
        <f>IF(OR($A23="",$E23="",$C23=""),0,IF(AND(17&gt;=$C23,OR($D23="",17&lt;=$D23)),$E23/12*(1+Assumptions!$B$26),0))</f>
      </c>
      <c r="W23" s="12">
        <f>IF(OR($A23="",$E23="",$C23=""),0,IF(AND(18&gt;=$C23,OR($D23="",18&lt;=$D23)),$E23/12*(1+Assumptions!$B$26),0))</f>
      </c>
      <c r="X23" s="12">
        <f>IF(OR($A23="",$E23="",$C23=""),0,IF(AND(19&gt;=$C23,OR($D23="",19&lt;=$D23)),$E23/12*(1+Assumptions!$B$26),0))</f>
      </c>
      <c r="Y23" s="12">
        <f>IF(OR($A23="",$E23="",$C23=""),0,IF(AND(20&gt;=$C23,OR($D23="",20&lt;=$D23)),$E23/12*(1+Assumptions!$B$26),0))</f>
      </c>
      <c r="Z23" s="12">
        <f>IF(OR($A23="",$E23="",$C23=""),0,IF(AND(21&gt;=$C23,OR($D23="",21&lt;=$D23)),$E23/12*(1+Assumptions!$B$26),0))</f>
      </c>
      <c r="AA23" s="12">
        <f>IF(OR($A23="",$E23="",$C23=""),0,IF(AND(22&gt;=$C23,OR($D23="",22&lt;=$D23)),$E23/12*(1+Assumptions!$B$26),0))</f>
      </c>
      <c r="AB23" s="12">
        <f>IF(OR($A23="",$E23="",$C23=""),0,IF(AND(23&gt;=$C23,OR($D23="",23&lt;=$D23)),$E23/12*(1+Assumptions!$B$26),0))</f>
      </c>
      <c r="AC23" s="12">
        <f>IF(OR($A23="",$E23="",$C23=""),0,IF(AND(24&gt;=$C23,OR($D23="",24&lt;=$D23)),$E23/12*(1+Assumptions!$B$26),0))</f>
      </c>
    </row>
    <row r="24" spans="1:29" x14ac:dyDescent="0.25">
      <c r="A24" s="9"/>
      <c r="B24" s="9"/>
      <c r="C24" s="9"/>
      <c r="D24" s="9"/>
      <c r="E24" s="7"/>
      <c r="F24" s="12">
        <f>IF(OR($A24="",$E24="",$C24=""),0,IF(AND(1&gt;=$C24,OR($D24="",1&lt;=$D24)),$E24/12*(1+Assumptions!$B$26),0))</f>
      </c>
      <c r="G24" s="12">
        <f>IF(OR($A24="",$E24="",$C24=""),0,IF(AND(2&gt;=$C24,OR($D24="",2&lt;=$D24)),$E24/12*(1+Assumptions!$B$26),0))</f>
      </c>
      <c r="H24" s="12">
        <f>IF(OR($A24="",$E24="",$C24=""),0,IF(AND(3&gt;=$C24,OR($D24="",3&lt;=$D24)),$E24/12*(1+Assumptions!$B$26),0))</f>
      </c>
      <c r="I24" s="12">
        <f>IF(OR($A24="",$E24="",$C24=""),0,IF(AND(4&gt;=$C24,OR($D24="",4&lt;=$D24)),$E24/12*(1+Assumptions!$B$26),0))</f>
      </c>
      <c r="J24" s="12">
        <f>IF(OR($A24="",$E24="",$C24=""),0,IF(AND(5&gt;=$C24,OR($D24="",5&lt;=$D24)),$E24/12*(1+Assumptions!$B$26),0))</f>
      </c>
      <c r="K24" s="12">
        <f>IF(OR($A24="",$E24="",$C24=""),0,IF(AND(6&gt;=$C24,OR($D24="",6&lt;=$D24)),$E24/12*(1+Assumptions!$B$26),0))</f>
      </c>
      <c r="L24" s="12">
        <f>IF(OR($A24="",$E24="",$C24=""),0,IF(AND(7&gt;=$C24,OR($D24="",7&lt;=$D24)),$E24/12*(1+Assumptions!$B$26),0))</f>
      </c>
      <c r="M24" s="12">
        <f>IF(OR($A24="",$E24="",$C24=""),0,IF(AND(8&gt;=$C24,OR($D24="",8&lt;=$D24)),$E24/12*(1+Assumptions!$B$26),0))</f>
      </c>
      <c r="N24" s="12">
        <f>IF(OR($A24="",$E24="",$C24=""),0,IF(AND(9&gt;=$C24,OR($D24="",9&lt;=$D24)),$E24/12*(1+Assumptions!$B$26),0))</f>
      </c>
      <c r="O24" s="12">
        <f>IF(OR($A24="",$E24="",$C24=""),0,IF(AND(10&gt;=$C24,OR($D24="",10&lt;=$D24)),$E24/12*(1+Assumptions!$B$26),0))</f>
      </c>
      <c r="P24" s="12">
        <f>IF(OR($A24="",$E24="",$C24=""),0,IF(AND(11&gt;=$C24,OR($D24="",11&lt;=$D24)),$E24/12*(1+Assumptions!$B$26),0))</f>
      </c>
      <c r="Q24" s="12">
        <f>IF(OR($A24="",$E24="",$C24=""),0,IF(AND(12&gt;=$C24,OR($D24="",12&lt;=$D24)),$E24/12*(1+Assumptions!$B$26),0))</f>
      </c>
      <c r="R24" s="12">
        <f>IF(OR($A24="",$E24="",$C24=""),0,IF(AND(13&gt;=$C24,OR($D24="",13&lt;=$D24)),$E24/12*(1+Assumptions!$B$26),0))</f>
      </c>
      <c r="S24" s="12">
        <f>IF(OR($A24="",$E24="",$C24=""),0,IF(AND(14&gt;=$C24,OR($D24="",14&lt;=$D24)),$E24/12*(1+Assumptions!$B$26),0))</f>
      </c>
      <c r="T24" s="12">
        <f>IF(OR($A24="",$E24="",$C24=""),0,IF(AND(15&gt;=$C24,OR($D24="",15&lt;=$D24)),$E24/12*(1+Assumptions!$B$26),0))</f>
      </c>
      <c r="U24" s="12">
        <f>IF(OR($A24="",$E24="",$C24=""),0,IF(AND(16&gt;=$C24,OR($D24="",16&lt;=$D24)),$E24/12*(1+Assumptions!$B$26),0))</f>
      </c>
      <c r="V24" s="12">
        <f>IF(OR($A24="",$E24="",$C24=""),0,IF(AND(17&gt;=$C24,OR($D24="",17&lt;=$D24)),$E24/12*(1+Assumptions!$B$26),0))</f>
      </c>
      <c r="W24" s="12">
        <f>IF(OR($A24="",$E24="",$C24=""),0,IF(AND(18&gt;=$C24,OR($D24="",18&lt;=$D24)),$E24/12*(1+Assumptions!$B$26),0))</f>
      </c>
      <c r="X24" s="12">
        <f>IF(OR($A24="",$E24="",$C24=""),0,IF(AND(19&gt;=$C24,OR($D24="",19&lt;=$D24)),$E24/12*(1+Assumptions!$B$26),0))</f>
      </c>
      <c r="Y24" s="12">
        <f>IF(OR($A24="",$E24="",$C24=""),0,IF(AND(20&gt;=$C24,OR($D24="",20&lt;=$D24)),$E24/12*(1+Assumptions!$B$26),0))</f>
      </c>
      <c r="Z24" s="12">
        <f>IF(OR($A24="",$E24="",$C24=""),0,IF(AND(21&gt;=$C24,OR($D24="",21&lt;=$D24)),$E24/12*(1+Assumptions!$B$26),0))</f>
      </c>
      <c r="AA24" s="12">
        <f>IF(OR($A24="",$E24="",$C24=""),0,IF(AND(22&gt;=$C24,OR($D24="",22&lt;=$D24)),$E24/12*(1+Assumptions!$B$26),0))</f>
      </c>
      <c r="AB24" s="12">
        <f>IF(OR($A24="",$E24="",$C24=""),0,IF(AND(23&gt;=$C24,OR($D24="",23&lt;=$D24)),$E24/12*(1+Assumptions!$B$26),0))</f>
      </c>
      <c r="AC24" s="12">
        <f>IF(OR($A24="",$E24="",$C24=""),0,IF(AND(24&gt;=$C24,OR($D24="",24&lt;=$D24)),$E24/12*(1+Assumptions!$B$26),0))</f>
      </c>
    </row>
    <row r="25" spans="1:29" x14ac:dyDescent="0.25">
      <c r="A25" s="9"/>
      <c r="B25" s="9"/>
      <c r="C25" s="9"/>
      <c r="D25" s="9"/>
      <c r="E25" s="7"/>
      <c r="F25" s="12">
        <f>IF(OR($A25="",$E25="",$C25=""),0,IF(AND(1&gt;=$C25,OR($D25="",1&lt;=$D25)),$E25/12*(1+Assumptions!$B$26),0))</f>
      </c>
      <c r="G25" s="12">
        <f>IF(OR($A25="",$E25="",$C25=""),0,IF(AND(2&gt;=$C25,OR($D25="",2&lt;=$D25)),$E25/12*(1+Assumptions!$B$26),0))</f>
      </c>
      <c r="H25" s="12">
        <f>IF(OR($A25="",$E25="",$C25=""),0,IF(AND(3&gt;=$C25,OR($D25="",3&lt;=$D25)),$E25/12*(1+Assumptions!$B$26),0))</f>
      </c>
      <c r="I25" s="12">
        <f>IF(OR($A25="",$E25="",$C25=""),0,IF(AND(4&gt;=$C25,OR($D25="",4&lt;=$D25)),$E25/12*(1+Assumptions!$B$26),0))</f>
      </c>
      <c r="J25" s="12">
        <f>IF(OR($A25="",$E25="",$C25=""),0,IF(AND(5&gt;=$C25,OR($D25="",5&lt;=$D25)),$E25/12*(1+Assumptions!$B$26),0))</f>
      </c>
      <c r="K25" s="12">
        <f>IF(OR($A25="",$E25="",$C25=""),0,IF(AND(6&gt;=$C25,OR($D25="",6&lt;=$D25)),$E25/12*(1+Assumptions!$B$26),0))</f>
      </c>
      <c r="L25" s="12">
        <f>IF(OR($A25="",$E25="",$C25=""),0,IF(AND(7&gt;=$C25,OR($D25="",7&lt;=$D25)),$E25/12*(1+Assumptions!$B$26),0))</f>
      </c>
      <c r="M25" s="12">
        <f>IF(OR($A25="",$E25="",$C25=""),0,IF(AND(8&gt;=$C25,OR($D25="",8&lt;=$D25)),$E25/12*(1+Assumptions!$B$26),0))</f>
      </c>
      <c r="N25" s="12">
        <f>IF(OR($A25="",$E25="",$C25=""),0,IF(AND(9&gt;=$C25,OR($D25="",9&lt;=$D25)),$E25/12*(1+Assumptions!$B$26),0))</f>
      </c>
      <c r="O25" s="12">
        <f>IF(OR($A25="",$E25="",$C25=""),0,IF(AND(10&gt;=$C25,OR($D25="",10&lt;=$D25)),$E25/12*(1+Assumptions!$B$26),0))</f>
      </c>
      <c r="P25" s="12">
        <f>IF(OR($A25="",$E25="",$C25=""),0,IF(AND(11&gt;=$C25,OR($D25="",11&lt;=$D25)),$E25/12*(1+Assumptions!$B$26),0))</f>
      </c>
      <c r="Q25" s="12">
        <f>IF(OR($A25="",$E25="",$C25=""),0,IF(AND(12&gt;=$C25,OR($D25="",12&lt;=$D25)),$E25/12*(1+Assumptions!$B$26),0))</f>
      </c>
      <c r="R25" s="12">
        <f>IF(OR($A25="",$E25="",$C25=""),0,IF(AND(13&gt;=$C25,OR($D25="",13&lt;=$D25)),$E25/12*(1+Assumptions!$B$26),0))</f>
      </c>
      <c r="S25" s="12">
        <f>IF(OR($A25="",$E25="",$C25=""),0,IF(AND(14&gt;=$C25,OR($D25="",14&lt;=$D25)),$E25/12*(1+Assumptions!$B$26),0))</f>
      </c>
      <c r="T25" s="12">
        <f>IF(OR($A25="",$E25="",$C25=""),0,IF(AND(15&gt;=$C25,OR($D25="",15&lt;=$D25)),$E25/12*(1+Assumptions!$B$26),0))</f>
      </c>
      <c r="U25" s="12">
        <f>IF(OR($A25="",$E25="",$C25=""),0,IF(AND(16&gt;=$C25,OR($D25="",16&lt;=$D25)),$E25/12*(1+Assumptions!$B$26),0))</f>
      </c>
      <c r="V25" s="12">
        <f>IF(OR($A25="",$E25="",$C25=""),0,IF(AND(17&gt;=$C25,OR($D25="",17&lt;=$D25)),$E25/12*(1+Assumptions!$B$26),0))</f>
      </c>
      <c r="W25" s="12">
        <f>IF(OR($A25="",$E25="",$C25=""),0,IF(AND(18&gt;=$C25,OR($D25="",18&lt;=$D25)),$E25/12*(1+Assumptions!$B$26),0))</f>
      </c>
      <c r="X25" s="12">
        <f>IF(OR($A25="",$E25="",$C25=""),0,IF(AND(19&gt;=$C25,OR($D25="",19&lt;=$D25)),$E25/12*(1+Assumptions!$B$26),0))</f>
      </c>
      <c r="Y25" s="12">
        <f>IF(OR($A25="",$E25="",$C25=""),0,IF(AND(20&gt;=$C25,OR($D25="",20&lt;=$D25)),$E25/12*(1+Assumptions!$B$26),0))</f>
      </c>
      <c r="Z25" s="12">
        <f>IF(OR($A25="",$E25="",$C25=""),0,IF(AND(21&gt;=$C25,OR($D25="",21&lt;=$D25)),$E25/12*(1+Assumptions!$B$26),0))</f>
      </c>
      <c r="AA25" s="12">
        <f>IF(OR($A25="",$E25="",$C25=""),0,IF(AND(22&gt;=$C25,OR($D25="",22&lt;=$D25)),$E25/12*(1+Assumptions!$B$26),0))</f>
      </c>
      <c r="AB25" s="12">
        <f>IF(OR($A25="",$E25="",$C25=""),0,IF(AND(23&gt;=$C25,OR($D25="",23&lt;=$D25)),$E25/12*(1+Assumptions!$B$26),0))</f>
      </c>
      <c r="AC25" s="12">
        <f>IF(OR($A25="",$E25="",$C25=""),0,IF(AND(24&gt;=$C25,OR($D25="",24&lt;=$D25)),$E25/12*(1+Assumptions!$B$26),0))</f>
      </c>
    </row>
    <row r="26" spans="1:29" x14ac:dyDescent="0.25">
      <c r="A26" s="9"/>
      <c r="B26" s="9"/>
      <c r="C26" s="9"/>
      <c r="D26" s="9"/>
      <c r="E26" s="7"/>
      <c r="F26" s="12">
        <f>IF(OR($A26="",$E26="",$C26=""),0,IF(AND(1&gt;=$C26,OR($D26="",1&lt;=$D26)),$E26/12*(1+Assumptions!$B$26),0))</f>
      </c>
      <c r="G26" s="12">
        <f>IF(OR($A26="",$E26="",$C26=""),0,IF(AND(2&gt;=$C26,OR($D26="",2&lt;=$D26)),$E26/12*(1+Assumptions!$B$26),0))</f>
      </c>
      <c r="H26" s="12">
        <f>IF(OR($A26="",$E26="",$C26=""),0,IF(AND(3&gt;=$C26,OR($D26="",3&lt;=$D26)),$E26/12*(1+Assumptions!$B$26),0))</f>
      </c>
      <c r="I26" s="12">
        <f>IF(OR($A26="",$E26="",$C26=""),0,IF(AND(4&gt;=$C26,OR($D26="",4&lt;=$D26)),$E26/12*(1+Assumptions!$B$26),0))</f>
      </c>
      <c r="J26" s="12">
        <f>IF(OR($A26="",$E26="",$C26=""),0,IF(AND(5&gt;=$C26,OR($D26="",5&lt;=$D26)),$E26/12*(1+Assumptions!$B$26),0))</f>
      </c>
      <c r="K26" s="12">
        <f>IF(OR($A26="",$E26="",$C26=""),0,IF(AND(6&gt;=$C26,OR($D26="",6&lt;=$D26)),$E26/12*(1+Assumptions!$B$26),0))</f>
      </c>
      <c r="L26" s="12">
        <f>IF(OR($A26="",$E26="",$C26=""),0,IF(AND(7&gt;=$C26,OR($D26="",7&lt;=$D26)),$E26/12*(1+Assumptions!$B$26),0))</f>
      </c>
      <c r="M26" s="12">
        <f>IF(OR($A26="",$E26="",$C26=""),0,IF(AND(8&gt;=$C26,OR($D26="",8&lt;=$D26)),$E26/12*(1+Assumptions!$B$26),0))</f>
      </c>
      <c r="N26" s="12">
        <f>IF(OR($A26="",$E26="",$C26=""),0,IF(AND(9&gt;=$C26,OR($D26="",9&lt;=$D26)),$E26/12*(1+Assumptions!$B$26),0))</f>
      </c>
      <c r="O26" s="12">
        <f>IF(OR($A26="",$E26="",$C26=""),0,IF(AND(10&gt;=$C26,OR($D26="",10&lt;=$D26)),$E26/12*(1+Assumptions!$B$26),0))</f>
      </c>
      <c r="P26" s="12">
        <f>IF(OR($A26="",$E26="",$C26=""),0,IF(AND(11&gt;=$C26,OR($D26="",11&lt;=$D26)),$E26/12*(1+Assumptions!$B$26),0))</f>
      </c>
      <c r="Q26" s="12">
        <f>IF(OR($A26="",$E26="",$C26=""),0,IF(AND(12&gt;=$C26,OR($D26="",12&lt;=$D26)),$E26/12*(1+Assumptions!$B$26),0))</f>
      </c>
      <c r="R26" s="12">
        <f>IF(OR($A26="",$E26="",$C26=""),0,IF(AND(13&gt;=$C26,OR($D26="",13&lt;=$D26)),$E26/12*(1+Assumptions!$B$26),0))</f>
      </c>
      <c r="S26" s="12">
        <f>IF(OR($A26="",$E26="",$C26=""),0,IF(AND(14&gt;=$C26,OR($D26="",14&lt;=$D26)),$E26/12*(1+Assumptions!$B$26),0))</f>
      </c>
      <c r="T26" s="12">
        <f>IF(OR($A26="",$E26="",$C26=""),0,IF(AND(15&gt;=$C26,OR($D26="",15&lt;=$D26)),$E26/12*(1+Assumptions!$B$26),0))</f>
      </c>
      <c r="U26" s="12">
        <f>IF(OR($A26="",$E26="",$C26=""),0,IF(AND(16&gt;=$C26,OR($D26="",16&lt;=$D26)),$E26/12*(1+Assumptions!$B$26),0))</f>
      </c>
      <c r="V26" s="12">
        <f>IF(OR($A26="",$E26="",$C26=""),0,IF(AND(17&gt;=$C26,OR($D26="",17&lt;=$D26)),$E26/12*(1+Assumptions!$B$26),0))</f>
      </c>
      <c r="W26" s="12">
        <f>IF(OR($A26="",$E26="",$C26=""),0,IF(AND(18&gt;=$C26,OR($D26="",18&lt;=$D26)),$E26/12*(1+Assumptions!$B$26),0))</f>
      </c>
      <c r="X26" s="12">
        <f>IF(OR($A26="",$E26="",$C26=""),0,IF(AND(19&gt;=$C26,OR($D26="",19&lt;=$D26)),$E26/12*(1+Assumptions!$B$26),0))</f>
      </c>
      <c r="Y26" s="12">
        <f>IF(OR($A26="",$E26="",$C26=""),0,IF(AND(20&gt;=$C26,OR($D26="",20&lt;=$D26)),$E26/12*(1+Assumptions!$B$26),0))</f>
      </c>
      <c r="Z26" s="12">
        <f>IF(OR($A26="",$E26="",$C26=""),0,IF(AND(21&gt;=$C26,OR($D26="",21&lt;=$D26)),$E26/12*(1+Assumptions!$B$26),0))</f>
      </c>
      <c r="AA26" s="12">
        <f>IF(OR($A26="",$E26="",$C26=""),0,IF(AND(22&gt;=$C26,OR($D26="",22&lt;=$D26)),$E26/12*(1+Assumptions!$B$26),0))</f>
      </c>
      <c r="AB26" s="12">
        <f>IF(OR($A26="",$E26="",$C26=""),0,IF(AND(23&gt;=$C26,OR($D26="",23&lt;=$D26)),$E26/12*(1+Assumptions!$B$26),0))</f>
      </c>
      <c r="AC26" s="12">
        <f>IF(OR($A26="",$E26="",$C26=""),0,IF(AND(24&gt;=$C26,OR($D26="",24&lt;=$D26)),$E26/12*(1+Assumptions!$B$26),0))</f>
      </c>
    </row>
    <row r="27" spans="1:29" x14ac:dyDescent="0.25">
      <c r="A27" s="9"/>
      <c r="B27" s="9"/>
      <c r="C27" s="9"/>
      <c r="D27" s="9"/>
      <c r="E27" s="7"/>
      <c r="F27" s="12">
        <f>IF(OR($A27="",$E27="",$C27=""),0,IF(AND(1&gt;=$C27,OR($D27="",1&lt;=$D27)),$E27/12*(1+Assumptions!$B$26),0))</f>
      </c>
      <c r="G27" s="12">
        <f>IF(OR($A27="",$E27="",$C27=""),0,IF(AND(2&gt;=$C27,OR($D27="",2&lt;=$D27)),$E27/12*(1+Assumptions!$B$26),0))</f>
      </c>
      <c r="H27" s="12">
        <f>IF(OR($A27="",$E27="",$C27=""),0,IF(AND(3&gt;=$C27,OR($D27="",3&lt;=$D27)),$E27/12*(1+Assumptions!$B$26),0))</f>
      </c>
      <c r="I27" s="12">
        <f>IF(OR($A27="",$E27="",$C27=""),0,IF(AND(4&gt;=$C27,OR($D27="",4&lt;=$D27)),$E27/12*(1+Assumptions!$B$26),0))</f>
      </c>
      <c r="J27" s="12">
        <f>IF(OR($A27="",$E27="",$C27=""),0,IF(AND(5&gt;=$C27,OR($D27="",5&lt;=$D27)),$E27/12*(1+Assumptions!$B$26),0))</f>
      </c>
      <c r="K27" s="12">
        <f>IF(OR($A27="",$E27="",$C27=""),0,IF(AND(6&gt;=$C27,OR($D27="",6&lt;=$D27)),$E27/12*(1+Assumptions!$B$26),0))</f>
      </c>
      <c r="L27" s="12">
        <f>IF(OR($A27="",$E27="",$C27=""),0,IF(AND(7&gt;=$C27,OR($D27="",7&lt;=$D27)),$E27/12*(1+Assumptions!$B$26),0))</f>
      </c>
      <c r="M27" s="12">
        <f>IF(OR($A27="",$E27="",$C27=""),0,IF(AND(8&gt;=$C27,OR($D27="",8&lt;=$D27)),$E27/12*(1+Assumptions!$B$26),0))</f>
      </c>
      <c r="N27" s="12">
        <f>IF(OR($A27="",$E27="",$C27=""),0,IF(AND(9&gt;=$C27,OR($D27="",9&lt;=$D27)),$E27/12*(1+Assumptions!$B$26),0))</f>
      </c>
      <c r="O27" s="12">
        <f>IF(OR($A27="",$E27="",$C27=""),0,IF(AND(10&gt;=$C27,OR($D27="",10&lt;=$D27)),$E27/12*(1+Assumptions!$B$26),0))</f>
      </c>
      <c r="P27" s="12">
        <f>IF(OR($A27="",$E27="",$C27=""),0,IF(AND(11&gt;=$C27,OR($D27="",11&lt;=$D27)),$E27/12*(1+Assumptions!$B$26),0))</f>
      </c>
      <c r="Q27" s="12">
        <f>IF(OR($A27="",$E27="",$C27=""),0,IF(AND(12&gt;=$C27,OR($D27="",12&lt;=$D27)),$E27/12*(1+Assumptions!$B$26),0))</f>
      </c>
      <c r="R27" s="12">
        <f>IF(OR($A27="",$E27="",$C27=""),0,IF(AND(13&gt;=$C27,OR($D27="",13&lt;=$D27)),$E27/12*(1+Assumptions!$B$26),0))</f>
      </c>
      <c r="S27" s="12">
        <f>IF(OR($A27="",$E27="",$C27=""),0,IF(AND(14&gt;=$C27,OR($D27="",14&lt;=$D27)),$E27/12*(1+Assumptions!$B$26),0))</f>
      </c>
      <c r="T27" s="12">
        <f>IF(OR($A27="",$E27="",$C27=""),0,IF(AND(15&gt;=$C27,OR($D27="",15&lt;=$D27)),$E27/12*(1+Assumptions!$B$26),0))</f>
      </c>
      <c r="U27" s="12">
        <f>IF(OR($A27="",$E27="",$C27=""),0,IF(AND(16&gt;=$C27,OR($D27="",16&lt;=$D27)),$E27/12*(1+Assumptions!$B$26),0))</f>
      </c>
      <c r="V27" s="12">
        <f>IF(OR($A27="",$E27="",$C27=""),0,IF(AND(17&gt;=$C27,OR($D27="",17&lt;=$D27)),$E27/12*(1+Assumptions!$B$26),0))</f>
      </c>
      <c r="W27" s="12">
        <f>IF(OR($A27="",$E27="",$C27=""),0,IF(AND(18&gt;=$C27,OR($D27="",18&lt;=$D27)),$E27/12*(1+Assumptions!$B$26),0))</f>
      </c>
      <c r="X27" s="12">
        <f>IF(OR($A27="",$E27="",$C27=""),0,IF(AND(19&gt;=$C27,OR($D27="",19&lt;=$D27)),$E27/12*(1+Assumptions!$B$26),0))</f>
      </c>
      <c r="Y27" s="12">
        <f>IF(OR($A27="",$E27="",$C27=""),0,IF(AND(20&gt;=$C27,OR($D27="",20&lt;=$D27)),$E27/12*(1+Assumptions!$B$26),0))</f>
      </c>
      <c r="Z27" s="12">
        <f>IF(OR($A27="",$E27="",$C27=""),0,IF(AND(21&gt;=$C27,OR($D27="",21&lt;=$D27)),$E27/12*(1+Assumptions!$B$26),0))</f>
      </c>
      <c r="AA27" s="12">
        <f>IF(OR($A27="",$E27="",$C27=""),0,IF(AND(22&gt;=$C27,OR($D27="",22&lt;=$D27)),$E27/12*(1+Assumptions!$B$26),0))</f>
      </c>
      <c r="AB27" s="12">
        <f>IF(OR($A27="",$E27="",$C27=""),0,IF(AND(23&gt;=$C27,OR($D27="",23&lt;=$D27)),$E27/12*(1+Assumptions!$B$26),0))</f>
      </c>
      <c r="AC27" s="12">
        <f>IF(OR($A27="",$E27="",$C27=""),0,IF(AND(24&gt;=$C27,OR($D27="",24&lt;=$D27)),$E27/12*(1+Assumptions!$B$26),0))</f>
      </c>
    </row>
    <row r="28" spans="1:29" x14ac:dyDescent="0.25">
      <c r="A28" s="9"/>
      <c r="B28" s="9"/>
      <c r="C28" s="9"/>
      <c r="D28" s="9"/>
      <c r="E28" s="7"/>
      <c r="F28" s="12">
        <f>IF(OR($A28="",$E28="",$C28=""),0,IF(AND(1&gt;=$C28,OR($D28="",1&lt;=$D28)),$E28/12*(1+Assumptions!$B$26),0))</f>
      </c>
      <c r="G28" s="12">
        <f>IF(OR($A28="",$E28="",$C28=""),0,IF(AND(2&gt;=$C28,OR($D28="",2&lt;=$D28)),$E28/12*(1+Assumptions!$B$26),0))</f>
      </c>
      <c r="H28" s="12">
        <f>IF(OR($A28="",$E28="",$C28=""),0,IF(AND(3&gt;=$C28,OR($D28="",3&lt;=$D28)),$E28/12*(1+Assumptions!$B$26),0))</f>
      </c>
      <c r="I28" s="12">
        <f>IF(OR($A28="",$E28="",$C28=""),0,IF(AND(4&gt;=$C28,OR($D28="",4&lt;=$D28)),$E28/12*(1+Assumptions!$B$26),0))</f>
      </c>
      <c r="J28" s="12">
        <f>IF(OR($A28="",$E28="",$C28=""),0,IF(AND(5&gt;=$C28,OR($D28="",5&lt;=$D28)),$E28/12*(1+Assumptions!$B$26),0))</f>
      </c>
      <c r="K28" s="12">
        <f>IF(OR($A28="",$E28="",$C28=""),0,IF(AND(6&gt;=$C28,OR($D28="",6&lt;=$D28)),$E28/12*(1+Assumptions!$B$26),0))</f>
      </c>
      <c r="L28" s="12">
        <f>IF(OR($A28="",$E28="",$C28=""),0,IF(AND(7&gt;=$C28,OR($D28="",7&lt;=$D28)),$E28/12*(1+Assumptions!$B$26),0))</f>
      </c>
      <c r="M28" s="12">
        <f>IF(OR($A28="",$E28="",$C28=""),0,IF(AND(8&gt;=$C28,OR($D28="",8&lt;=$D28)),$E28/12*(1+Assumptions!$B$26),0))</f>
      </c>
      <c r="N28" s="12">
        <f>IF(OR($A28="",$E28="",$C28=""),0,IF(AND(9&gt;=$C28,OR($D28="",9&lt;=$D28)),$E28/12*(1+Assumptions!$B$26),0))</f>
      </c>
      <c r="O28" s="12">
        <f>IF(OR($A28="",$E28="",$C28=""),0,IF(AND(10&gt;=$C28,OR($D28="",10&lt;=$D28)),$E28/12*(1+Assumptions!$B$26),0))</f>
      </c>
      <c r="P28" s="12">
        <f>IF(OR($A28="",$E28="",$C28=""),0,IF(AND(11&gt;=$C28,OR($D28="",11&lt;=$D28)),$E28/12*(1+Assumptions!$B$26),0))</f>
      </c>
      <c r="Q28" s="12">
        <f>IF(OR($A28="",$E28="",$C28=""),0,IF(AND(12&gt;=$C28,OR($D28="",12&lt;=$D28)),$E28/12*(1+Assumptions!$B$26),0))</f>
      </c>
      <c r="R28" s="12">
        <f>IF(OR($A28="",$E28="",$C28=""),0,IF(AND(13&gt;=$C28,OR($D28="",13&lt;=$D28)),$E28/12*(1+Assumptions!$B$26),0))</f>
      </c>
      <c r="S28" s="12">
        <f>IF(OR($A28="",$E28="",$C28=""),0,IF(AND(14&gt;=$C28,OR($D28="",14&lt;=$D28)),$E28/12*(1+Assumptions!$B$26),0))</f>
      </c>
      <c r="T28" s="12">
        <f>IF(OR($A28="",$E28="",$C28=""),0,IF(AND(15&gt;=$C28,OR($D28="",15&lt;=$D28)),$E28/12*(1+Assumptions!$B$26),0))</f>
      </c>
      <c r="U28" s="12">
        <f>IF(OR($A28="",$E28="",$C28=""),0,IF(AND(16&gt;=$C28,OR($D28="",16&lt;=$D28)),$E28/12*(1+Assumptions!$B$26),0))</f>
      </c>
      <c r="V28" s="12">
        <f>IF(OR($A28="",$E28="",$C28=""),0,IF(AND(17&gt;=$C28,OR($D28="",17&lt;=$D28)),$E28/12*(1+Assumptions!$B$26),0))</f>
      </c>
      <c r="W28" s="12">
        <f>IF(OR($A28="",$E28="",$C28=""),0,IF(AND(18&gt;=$C28,OR($D28="",18&lt;=$D28)),$E28/12*(1+Assumptions!$B$26),0))</f>
      </c>
      <c r="X28" s="12">
        <f>IF(OR($A28="",$E28="",$C28=""),0,IF(AND(19&gt;=$C28,OR($D28="",19&lt;=$D28)),$E28/12*(1+Assumptions!$B$26),0))</f>
      </c>
      <c r="Y28" s="12">
        <f>IF(OR($A28="",$E28="",$C28=""),0,IF(AND(20&gt;=$C28,OR($D28="",20&lt;=$D28)),$E28/12*(1+Assumptions!$B$26),0))</f>
      </c>
      <c r="Z28" s="12">
        <f>IF(OR($A28="",$E28="",$C28=""),0,IF(AND(21&gt;=$C28,OR($D28="",21&lt;=$D28)),$E28/12*(1+Assumptions!$B$26),0))</f>
      </c>
      <c r="AA28" s="12">
        <f>IF(OR($A28="",$E28="",$C28=""),0,IF(AND(22&gt;=$C28,OR($D28="",22&lt;=$D28)),$E28/12*(1+Assumptions!$B$26),0))</f>
      </c>
      <c r="AB28" s="12">
        <f>IF(OR($A28="",$E28="",$C28=""),0,IF(AND(23&gt;=$C28,OR($D28="",23&lt;=$D28)),$E28/12*(1+Assumptions!$B$26),0))</f>
      </c>
      <c r="AC28" s="12">
        <f>IF(OR($A28="",$E28="",$C28=""),0,IF(AND(24&gt;=$C28,OR($D28="",24&lt;=$D28)),$E28/12*(1+Assumptions!$B$26),0))</f>
      </c>
    </row>
    <row r="29" spans="1:29" x14ac:dyDescent="0.25">
      <c r="A29" s="9"/>
      <c r="B29" s="9"/>
      <c r="C29" s="9"/>
      <c r="D29" s="9"/>
      <c r="E29" s="7"/>
      <c r="F29" s="12">
        <f>IF(OR($A29="",$E29="",$C29=""),0,IF(AND(1&gt;=$C29,OR($D29="",1&lt;=$D29)),$E29/12*(1+Assumptions!$B$26),0))</f>
      </c>
      <c r="G29" s="12">
        <f>IF(OR($A29="",$E29="",$C29=""),0,IF(AND(2&gt;=$C29,OR($D29="",2&lt;=$D29)),$E29/12*(1+Assumptions!$B$26),0))</f>
      </c>
      <c r="H29" s="12">
        <f>IF(OR($A29="",$E29="",$C29=""),0,IF(AND(3&gt;=$C29,OR($D29="",3&lt;=$D29)),$E29/12*(1+Assumptions!$B$26),0))</f>
      </c>
      <c r="I29" s="12">
        <f>IF(OR($A29="",$E29="",$C29=""),0,IF(AND(4&gt;=$C29,OR($D29="",4&lt;=$D29)),$E29/12*(1+Assumptions!$B$26),0))</f>
      </c>
      <c r="J29" s="12">
        <f>IF(OR($A29="",$E29="",$C29=""),0,IF(AND(5&gt;=$C29,OR($D29="",5&lt;=$D29)),$E29/12*(1+Assumptions!$B$26),0))</f>
      </c>
      <c r="K29" s="12">
        <f>IF(OR($A29="",$E29="",$C29=""),0,IF(AND(6&gt;=$C29,OR($D29="",6&lt;=$D29)),$E29/12*(1+Assumptions!$B$26),0))</f>
      </c>
      <c r="L29" s="12">
        <f>IF(OR($A29="",$E29="",$C29=""),0,IF(AND(7&gt;=$C29,OR($D29="",7&lt;=$D29)),$E29/12*(1+Assumptions!$B$26),0))</f>
      </c>
      <c r="M29" s="12">
        <f>IF(OR($A29="",$E29="",$C29=""),0,IF(AND(8&gt;=$C29,OR($D29="",8&lt;=$D29)),$E29/12*(1+Assumptions!$B$26),0))</f>
      </c>
      <c r="N29" s="12">
        <f>IF(OR($A29="",$E29="",$C29=""),0,IF(AND(9&gt;=$C29,OR($D29="",9&lt;=$D29)),$E29/12*(1+Assumptions!$B$26),0))</f>
      </c>
      <c r="O29" s="12">
        <f>IF(OR($A29="",$E29="",$C29=""),0,IF(AND(10&gt;=$C29,OR($D29="",10&lt;=$D29)),$E29/12*(1+Assumptions!$B$26),0))</f>
      </c>
      <c r="P29" s="12">
        <f>IF(OR($A29="",$E29="",$C29=""),0,IF(AND(11&gt;=$C29,OR($D29="",11&lt;=$D29)),$E29/12*(1+Assumptions!$B$26),0))</f>
      </c>
      <c r="Q29" s="12">
        <f>IF(OR($A29="",$E29="",$C29=""),0,IF(AND(12&gt;=$C29,OR($D29="",12&lt;=$D29)),$E29/12*(1+Assumptions!$B$26),0))</f>
      </c>
      <c r="R29" s="12">
        <f>IF(OR($A29="",$E29="",$C29=""),0,IF(AND(13&gt;=$C29,OR($D29="",13&lt;=$D29)),$E29/12*(1+Assumptions!$B$26),0))</f>
      </c>
      <c r="S29" s="12">
        <f>IF(OR($A29="",$E29="",$C29=""),0,IF(AND(14&gt;=$C29,OR($D29="",14&lt;=$D29)),$E29/12*(1+Assumptions!$B$26),0))</f>
      </c>
      <c r="T29" s="12">
        <f>IF(OR($A29="",$E29="",$C29=""),0,IF(AND(15&gt;=$C29,OR($D29="",15&lt;=$D29)),$E29/12*(1+Assumptions!$B$26),0))</f>
      </c>
      <c r="U29" s="12">
        <f>IF(OR($A29="",$E29="",$C29=""),0,IF(AND(16&gt;=$C29,OR($D29="",16&lt;=$D29)),$E29/12*(1+Assumptions!$B$26),0))</f>
      </c>
      <c r="V29" s="12">
        <f>IF(OR($A29="",$E29="",$C29=""),0,IF(AND(17&gt;=$C29,OR($D29="",17&lt;=$D29)),$E29/12*(1+Assumptions!$B$26),0))</f>
      </c>
      <c r="W29" s="12">
        <f>IF(OR($A29="",$E29="",$C29=""),0,IF(AND(18&gt;=$C29,OR($D29="",18&lt;=$D29)),$E29/12*(1+Assumptions!$B$26),0))</f>
      </c>
      <c r="X29" s="12">
        <f>IF(OR($A29="",$E29="",$C29=""),0,IF(AND(19&gt;=$C29,OR($D29="",19&lt;=$D29)),$E29/12*(1+Assumptions!$B$26),0))</f>
      </c>
      <c r="Y29" s="12">
        <f>IF(OR($A29="",$E29="",$C29=""),0,IF(AND(20&gt;=$C29,OR($D29="",20&lt;=$D29)),$E29/12*(1+Assumptions!$B$26),0))</f>
      </c>
      <c r="Z29" s="12">
        <f>IF(OR($A29="",$E29="",$C29=""),0,IF(AND(21&gt;=$C29,OR($D29="",21&lt;=$D29)),$E29/12*(1+Assumptions!$B$26),0))</f>
      </c>
      <c r="AA29" s="12">
        <f>IF(OR($A29="",$E29="",$C29=""),0,IF(AND(22&gt;=$C29,OR($D29="",22&lt;=$D29)),$E29/12*(1+Assumptions!$B$26),0))</f>
      </c>
      <c r="AB29" s="12">
        <f>IF(OR($A29="",$E29="",$C29=""),0,IF(AND(23&gt;=$C29,OR($D29="",23&lt;=$D29)),$E29/12*(1+Assumptions!$B$26),0))</f>
      </c>
      <c r="AC29" s="12">
        <f>IF(OR($A29="",$E29="",$C29=""),0,IF(AND(24&gt;=$C29,OR($D29="",24&lt;=$D29)),$E29/12*(1+Assumptions!$B$26),0))</f>
      </c>
    </row>
    <row r="30" spans="1:29" x14ac:dyDescent="0.25">
      <c r="A30" s="9"/>
      <c r="B30" s="9"/>
      <c r="C30" s="9"/>
      <c r="D30" s="9"/>
      <c r="E30" s="7"/>
      <c r="F30" s="12">
        <f>IF(OR($A30="",$E30="",$C30=""),0,IF(AND(1&gt;=$C30,OR($D30="",1&lt;=$D30)),$E30/12*(1+Assumptions!$B$26),0))</f>
      </c>
      <c r="G30" s="12">
        <f>IF(OR($A30="",$E30="",$C30=""),0,IF(AND(2&gt;=$C30,OR($D30="",2&lt;=$D30)),$E30/12*(1+Assumptions!$B$26),0))</f>
      </c>
      <c r="H30" s="12">
        <f>IF(OR($A30="",$E30="",$C30=""),0,IF(AND(3&gt;=$C30,OR($D30="",3&lt;=$D30)),$E30/12*(1+Assumptions!$B$26),0))</f>
      </c>
      <c r="I30" s="12">
        <f>IF(OR($A30="",$E30="",$C30=""),0,IF(AND(4&gt;=$C30,OR($D30="",4&lt;=$D30)),$E30/12*(1+Assumptions!$B$26),0))</f>
      </c>
      <c r="J30" s="12">
        <f>IF(OR($A30="",$E30="",$C30=""),0,IF(AND(5&gt;=$C30,OR($D30="",5&lt;=$D30)),$E30/12*(1+Assumptions!$B$26),0))</f>
      </c>
      <c r="K30" s="12">
        <f>IF(OR($A30="",$E30="",$C30=""),0,IF(AND(6&gt;=$C30,OR($D30="",6&lt;=$D30)),$E30/12*(1+Assumptions!$B$26),0))</f>
      </c>
      <c r="L30" s="12">
        <f>IF(OR($A30="",$E30="",$C30=""),0,IF(AND(7&gt;=$C30,OR($D30="",7&lt;=$D30)),$E30/12*(1+Assumptions!$B$26),0))</f>
      </c>
      <c r="M30" s="12">
        <f>IF(OR($A30="",$E30="",$C30=""),0,IF(AND(8&gt;=$C30,OR($D30="",8&lt;=$D30)),$E30/12*(1+Assumptions!$B$26),0))</f>
      </c>
      <c r="N30" s="12">
        <f>IF(OR($A30="",$E30="",$C30=""),0,IF(AND(9&gt;=$C30,OR($D30="",9&lt;=$D30)),$E30/12*(1+Assumptions!$B$26),0))</f>
      </c>
      <c r="O30" s="12">
        <f>IF(OR($A30="",$E30="",$C30=""),0,IF(AND(10&gt;=$C30,OR($D30="",10&lt;=$D30)),$E30/12*(1+Assumptions!$B$26),0))</f>
      </c>
      <c r="P30" s="12">
        <f>IF(OR($A30="",$E30="",$C30=""),0,IF(AND(11&gt;=$C30,OR($D30="",11&lt;=$D30)),$E30/12*(1+Assumptions!$B$26),0))</f>
      </c>
      <c r="Q30" s="12">
        <f>IF(OR($A30="",$E30="",$C30=""),0,IF(AND(12&gt;=$C30,OR($D30="",12&lt;=$D30)),$E30/12*(1+Assumptions!$B$26),0))</f>
      </c>
      <c r="R30" s="12">
        <f>IF(OR($A30="",$E30="",$C30=""),0,IF(AND(13&gt;=$C30,OR($D30="",13&lt;=$D30)),$E30/12*(1+Assumptions!$B$26),0))</f>
      </c>
      <c r="S30" s="12">
        <f>IF(OR($A30="",$E30="",$C30=""),0,IF(AND(14&gt;=$C30,OR($D30="",14&lt;=$D30)),$E30/12*(1+Assumptions!$B$26),0))</f>
      </c>
      <c r="T30" s="12">
        <f>IF(OR($A30="",$E30="",$C30=""),0,IF(AND(15&gt;=$C30,OR($D30="",15&lt;=$D30)),$E30/12*(1+Assumptions!$B$26),0))</f>
      </c>
      <c r="U30" s="12">
        <f>IF(OR($A30="",$E30="",$C30=""),0,IF(AND(16&gt;=$C30,OR($D30="",16&lt;=$D30)),$E30/12*(1+Assumptions!$B$26),0))</f>
      </c>
      <c r="V30" s="12">
        <f>IF(OR($A30="",$E30="",$C30=""),0,IF(AND(17&gt;=$C30,OR($D30="",17&lt;=$D30)),$E30/12*(1+Assumptions!$B$26),0))</f>
      </c>
      <c r="W30" s="12">
        <f>IF(OR($A30="",$E30="",$C30=""),0,IF(AND(18&gt;=$C30,OR($D30="",18&lt;=$D30)),$E30/12*(1+Assumptions!$B$26),0))</f>
      </c>
      <c r="X30" s="12">
        <f>IF(OR($A30="",$E30="",$C30=""),0,IF(AND(19&gt;=$C30,OR($D30="",19&lt;=$D30)),$E30/12*(1+Assumptions!$B$26),0))</f>
      </c>
      <c r="Y30" s="12">
        <f>IF(OR($A30="",$E30="",$C30=""),0,IF(AND(20&gt;=$C30,OR($D30="",20&lt;=$D30)),$E30/12*(1+Assumptions!$B$26),0))</f>
      </c>
      <c r="Z30" s="12">
        <f>IF(OR($A30="",$E30="",$C30=""),0,IF(AND(21&gt;=$C30,OR($D30="",21&lt;=$D30)),$E30/12*(1+Assumptions!$B$26),0))</f>
      </c>
      <c r="AA30" s="12">
        <f>IF(OR($A30="",$E30="",$C30=""),0,IF(AND(22&gt;=$C30,OR($D30="",22&lt;=$D30)),$E30/12*(1+Assumptions!$B$26),0))</f>
      </c>
      <c r="AB30" s="12">
        <f>IF(OR($A30="",$E30="",$C30=""),0,IF(AND(23&gt;=$C30,OR($D30="",23&lt;=$D30)),$E30/12*(1+Assumptions!$B$26),0))</f>
      </c>
      <c r="AC30" s="12">
        <f>IF(OR($A30="",$E30="",$C30=""),0,IF(AND(24&gt;=$C30,OR($D30="",24&lt;=$D30)),$E30/12*(1+Assumptions!$B$26),0))</f>
      </c>
    </row>
    <row r="31" spans="1:29" x14ac:dyDescent="0.25">
      <c r="A31" s="9"/>
      <c r="B31" s="9"/>
      <c r="C31" s="9"/>
      <c r="D31" s="9"/>
      <c r="E31" s="7"/>
      <c r="F31" s="12">
        <f>IF(OR($A31="",$E31="",$C31=""),0,IF(AND(1&gt;=$C31,OR($D31="",1&lt;=$D31)),$E31/12*(1+Assumptions!$B$26),0))</f>
      </c>
      <c r="G31" s="12">
        <f>IF(OR($A31="",$E31="",$C31=""),0,IF(AND(2&gt;=$C31,OR($D31="",2&lt;=$D31)),$E31/12*(1+Assumptions!$B$26),0))</f>
      </c>
      <c r="H31" s="12">
        <f>IF(OR($A31="",$E31="",$C31=""),0,IF(AND(3&gt;=$C31,OR($D31="",3&lt;=$D31)),$E31/12*(1+Assumptions!$B$26),0))</f>
      </c>
      <c r="I31" s="12">
        <f>IF(OR($A31="",$E31="",$C31=""),0,IF(AND(4&gt;=$C31,OR($D31="",4&lt;=$D31)),$E31/12*(1+Assumptions!$B$26),0))</f>
      </c>
      <c r="J31" s="12">
        <f>IF(OR($A31="",$E31="",$C31=""),0,IF(AND(5&gt;=$C31,OR($D31="",5&lt;=$D31)),$E31/12*(1+Assumptions!$B$26),0))</f>
      </c>
      <c r="K31" s="12">
        <f>IF(OR($A31="",$E31="",$C31=""),0,IF(AND(6&gt;=$C31,OR($D31="",6&lt;=$D31)),$E31/12*(1+Assumptions!$B$26),0))</f>
      </c>
      <c r="L31" s="12">
        <f>IF(OR($A31="",$E31="",$C31=""),0,IF(AND(7&gt;=$C31,OR($D31="",7&lt;=$D31)),$E31/12*(1+Assumptions!$B$26),0))</f>
      </c>
      <c r="M31" s="12">
        <f>IF(OR($A31="",$E31="",$C31=""),0,IF(AND(8&gt;=$C31,OR($D31="",8&lt;=$D31)),$E31/12*(1+Assumptions!$B$26),0))</f>
      </c>
      <c r="N31" s="12">
        <f>IF(OR($A31="",$E31="",$C31=""),0,IF(AND(9&gt;=$C31,OR($D31="",9&lt;=$D31)),$E31/12*(1+Assumptions!$B$26),0))</f>
      </c>
      <c r="O31" s="12">
        <f>IF(OR($A31="",$E31="",$C31=""),0,IF(AND(10&gt;=$C31,OR($D31="",10&lt;=$D31)),$E31/12*(1+Assumptions!$B$26),0))</f>
      </c>
      <c r="P31" s="12">
        <f>IF(OR($A31="",$E31="",$C31=""),0,IF(AND(11&gt;=$C31,OR($D31="",11&lt;=$D31)),$E31/12*(1+Assumptions!$B$26),0))</f>
      </c>
      <c r="Q31" s="12">
        <f>IF(OR($A31="",$E31="",$C31=""),0,IF(AND(12&gt;=$C31,OR($D31="",12&lt;=$D31)),$E31/12*(1+Assumptions!$B$26),0))</f>
      </c>
      <c r="R31" s="12">
        <f>IF(OR($A31="",$E31="",$C31=""),0,IF(AND(13&gt;=$C31,OR($D31="",13&lt;=$D31)),$E31/12*(1+Assumptions!$B$26),0))</f>
      </c>
      <c r="S31" s="12">
        <f>IF(OR($A31="",$E31="",$C31=""),0,IF(AND(14&gt;=$C31,OR($D31="",14&lt;=$D31)),$E31/12*(1+Assumptions!$B$26),0))</f>
      </c>
      <c r="T31" s="12">
        <f>IF(OR($A31="",$E31="",$C31=""),0,IF(AND(15&gt;=$C31,OR($D31="",15&lt;=$D31)),$E31/12*(1+Assumptions!$B$26),0))</f>
      </c>
      <c r="U31" s="12">
        <f>IF(OR($A31="",$E31="",$C31=""),0,IF(AND(16&gt;=$C31,OR($D31="",16&lt;=$D31)),$E31/12*(1+Assumptions!$B$26),0))</f>
      </c>
      <c r="V31" s="12">
        <f>IF(OR($A31="",$E31="",$C31=""),0,IF(AND(17&gt;=$C31,OR($D31="",17&lt;=$D31)),$E31/12*(1+Assumptions!$B$26),0))</f>
      </c>
      <c r="W31" s="12">
        <f>IF(OR($A31="",$E31="",$C31=""),0,IF(AND(18&gt;=$C31,OR($D31="",18&lt;=$D31)),$E31/12*(1+Assumptions!$B$26),0))</f>
      </c>
      <c r="X31" s="12">
        <f>IF(OR($A31="",$E31="",$C31=""),0,IF(AND(19&gt;=$C31,OR($D31="",19&lt;=$D31)),$E31/12*(1+Assumptions!$B$26),0))</f>
      </c>
      <c r="Y31" s="12">
        <f>IF(OR($A31="",$E31="",$C31=""),0,IF(AND(20&gt;=$C31,OR($D31="",20&lt;=$D31)),$E31/12*(1+Assumptions!$B$26),0))</f>
      </c>
      <c r="Z31" s="12">
        <f>IF(OR($A31="",$E31="",$C31=""),0,IF(AND(21&gt;=$C31,OR($D31="",21&lt;=$D31)),$E31/12*(1+Assumptions!$B$26),0))</f>
      </c>
      <c r="AA31" s="12">
        <f>IF(OR($A31="",$E31="",$C31=""),0,IF(AND(22&gt;=$C31,OR($D31="",22&lt;=$D31)),$E31/12*(1+Assumptions!$B$26),0))</f>
      </c>
      <c r="AB31" s="12">
        <f>IF(OR($A31="",$E31="",$C31=""),0,IF(AND(23&gt;=$C31,OR($D31="",23&lt;=$D31)),$E31/12*(1+Assumptions!$B$26),0))</f>
      </c>
      <c r="AC31" s="12">
        <f>IF(OR($A31="",$E31="",$C31=""),0,IF(AND(24&gt;=$C31,OR($D31="",24&lt;=$D31)),$E31/12*(1+Assumptions!$B$26),0))</f>
      </c>
    </row>
    <row r="32" spans="1:29" x14ac:dyDescent="0.25">
      <c r="A32" s="9"/>
      <c r="B32" s="9"/>
      <c r="C32" s="9"/>
      <c r="D32" s="9"/>
      <c r="E32" s="7"/>
      <c r="F32" s="12">
        <f>IF(OR($A32="",$E32="",$C32=""),0,IF(AND(1&gt;=$C32,OR($D32="",1&lt;=$D32)),$E32/12*(1+Assumptions!$B$26),0))</f>
      </c>
      <c r="G32" s="12">
        <f>IF(OR($A32="",$E32="",$C32=""),0,IF(AND(2&gt;=$C32,OR($D32="",2&lt;=$D32)),$E32/12*(1+Assumptions!$B$26),0))</f>
      </c>
      <c r="H32" s="12">
        <f>IF(OR($A32="",$E32="",$C32=""),0,IF(AND(3&gt;=$C32,OR($D32="",3&lt;=$D32)),$E32/12*(1+Assumptions!$B$26),0))</f>
      </c>
      <c r="I32" s="12">
        <f>IF(OR($A32="",$E32="",$C32=""),0,IF(AND(4&gt;=$C32,OR($D32="",4&lt;=$D32)),$E32/12*(1+Assumptions!$B$26),0))</f>
      </c>
      <c r="J32" s="12">
        <f>IF(OR($A32="",$E32="",$C32=""),0,IF(AND(5&gt;=$C32,OR($D32="",5&lt;=$D32)),$E32/12*(1+Assumptions!$B$26),0))</f>
      </c>
      <c r="K32" s="12">
        <f>IF(OR($A32="",$E32="",$C32=""),0,IF(AND(6&gt;=$C32,OR($D32="",6&lt;=$D32)),$E32/12*(1+Assumptions!$B$26),0))</f>
      </c>
      <c r="L32" s="12">
        <f>IF(OR($A32="",$E32="",$C32=""),0,IF(AND(7&gt;=$C32,OR($D32="",7&lt;=$D32)),$E32/12*(1+Assumptions!$B$26),0))</f>
      </c>
      <c r="M32" s="12">
        <f>IF(OR($A32="",$E32="",$C32=""),0,IF(AND(8&gt;=$C32,OR($D32="",8&lt;=$D32)),$E32/12*(1+Assumptions!$B$26),0))</f>
      </c>
      <c r="N32" s="12">
        <f>IF(OR($A32="",$E32="",$C32=""),0,IF(AND(9&gt;=$C32,OR($D32="",9&lt;=$D32)),$E32/12*(1+Assumptions!$B$26),0))</f>
      </c>
      <c r="O32" s="12">
        <f>IF(OR($A32="",$E32="",$C32=""),0,IF(AND(10&gt;=$C32,OR($D32="",10&lt;=$D32)),$E32/12*(1+Assumptions!$B$26),0))</f>
      </c>
      <c r="P32" s="12">
        <f>IF(OR($A32="",$E32="",$C32=""),0,IF(AND(11&gt;=$C32,OR($D32="",11&lt;=$D32)),$E32/12*(1+Assumptions!$B$26),0))</f>
      </c>
      <c r="Q32" s="12">
        <f>IF(OR($A32="",$E32="",$C32=""),0,IF(AND(12&gt;=$C32,OR($D32="",12&lt;=$D32)),$E32/12*(1+Assumptions!$B$26),0))</f>
      </c>
      <c r="R32" s="12">
        <f>IF(OR($A32="",$E32="",$C32=""),0,IF(AND(13&gt;=$C32,OR($D32="",13&lt;=$D32)),$E32/12*(1+Assumptions!$B$26),0))</f>
      </c>
      <c r="S32" s="12">
        <f>IF(OR($A32="",$E32="",$C32=""),0,IF(AND(14&gt;=$C32,OR($D32="",14&lt;=$D32)),$E32/12*(1+Assumptions!$B$26),0))</f>
      </c>
      <c r="T32" s="12">
        <f>IF(OR($A32="",$E32="",$C32=""),0,IF(AND(15&gt;=$C32,OR($D32="",15&lt;=$D32)),$E32/12*(1+Assumptions!$B$26),0))</f>
      </c>
      <c r="U32" s="12">
        <f>IF(OR($A32="",$E32="",$C32=""),0,IF(AND(16&gt;=$C32,OR($D32="",16&lt;=$D32)),$E32/12*(1+Assumptions!$B$26),0))</f>
      </c>
      <c r="V32" s="12">
        <f>IF(OR($A32="",$E32="",$C32=""),0,IF(AND(17&gt;=$C32,OR($D32="",17&lt;=$D32)),$E32/12*(1+Assumptions!$B$26),0))</f>
      </c>
      <c r="W32" s="12">
        <f>IF(OR($A32="",$E32="",$C32=""),0,IF(AND(18&gt;=$C32,OR($D32="",18&lt;=$D32)),$E32/12*(1+Assumptions!$B$26),0))</f>
      </c>
      <c r="X32" s="12">
        <f>IF(OR($A32="",$E32="",$C32=""),0,IF(AND(19&gt;=$C32,OR($D32="",19&lt;=$D32)),$E32/12*(1+Assumptions!$B$26),0))</f>
      </c>
      <c r="Y32" s="12">
        <f>IF(OR($A32="",$E32="",$C32=""),0,IF(AND(20&gt;=$C32,OR($D32="",20&lt;=$D32)),$E32/12*(1+Assumptions!$B$26),0))</f>
      </c>
      <c r="Z32" s="12">
        <f>IF(OR($A32="",$E32="",$C32=""),0,IF(AND(21&gt;=$C32,OR($D32="",21&lt;=$D32)),$E32/12*(1+Assumptions!$B$26),0))</f>
      </c>
      <c r="AA32" s="12">
        <f>IF(OR($A32="",$E32="",$C32=""),0,IF(AND(22&gt;=$C32,OR($D32="",22&lt;=$D32)),$E32/12*(1+Assumptions!$B$26),0))</f>
      </c>
      <c r="AB32" s="12">
        <f>IF(OR($A32="",$E32="",$C32=""),0,IF(AND(23&gt;=$C32,OR($D32="",23&lt;=$D32)),$E32/12*(1+Assumptions!$B$26),0))</f>
      </c>
      <c r="AC32" s="12">
        <f>IF(OR($A32="",$E32="",$C32=""),0,IF(AND(24&gt;=$C32,OR($D32="",24&lt;=$D32)),$E32/12*(1+Assumptions!$B$26),0))</f>
      </c>
    </row>
    <row r="33" spans="1:29" x14ac:dyDescent="0.25">
      <c r="A33" s="9"/>
      <c r="B33" s="9"/>
      <c r="C33" s="9"/>
      <c r="D33" s="9"/>
      <c r="E33" s="7"/>
      <c r="F33" s="12">
        <f>IF(OR($A33="",$E33="",$C33=""),0,IF(AND(1&gt;=$C33,OR($D33="",1&lt;=$D33)),$E33/12*(1+Assumptions!$B$26),0))</f>
      </c>
      <c r="G33" s="12">
        <f>IF(OR($A33="",$E33="",$C33=""),0,IF(AND(2&gt;=$C33,OR($D33="",2&lt;=$D33)),$E33/12*(1+Assumptions!$B$26),0))</f>
      </c>
      <c r="H33" s="12">
        <f>IF(OR($A33="",$E33="",$C33=""),0,IF(AND(3&gt;=$C33,OR($D33="",3&lt;=$D33)),$E33/12*(1+Assumptions!$B$26),0))</f>
      </c>
      <c r="I33" s="12">
        <f>IF(OR($A33="",$E33="",$C33=""),0,IF(AND(4&gt;=$C33,OR($D33="",4&lt;=$D33)),$E33/12*(1+Assumptions!$B$26),0))</f>
      </c>
      <c r="J33" s="12">
        <f>IF(OR($A33="",$E33="",$C33=""),0,IF(AND(5&gt;=$C33,OR($D33="",5&lt;=$D33)),$E33/12*(1+Assumptions!$B$26),0))</f>
      </c>
      <c r="K33" s="12">
        <f>IF(OR($A33="",$E33="",$C33=""),0,IF(AND(6&gt;=$C33,OR($D33="",6&lt;=$D33)),$E33/12*(1+Assumptions!$B$26),0))</f>
      </c>
      <c r="L33" s="12">
        <f>IF(OR($A33="",$E33="",$C33=""),0,IF(AND(7&gt;=$C33,OR($D33="",7&lt;=$D33)),$E33/12*(1+Assumptions!$B$26),0))</f>
      </c>
      <c r="M33" s="12">
        <f>IF(OR($A33="",$E33="",$C33=""),0,IF(AND(8&gt;=$C33,OR($D33="",8&lt;=$D33)),$E33/12*(1+Assumptions!$B$26),0))</f>
      </c>
      <c r="N33" s="12">
        <f>IF(OR($A33="",$E33="",$C33=""),0,IF(AND(9&gt;=$C33,OR($D33="",9&lt;=$D33)),$E33/12*(1+Assumptions!$B$26),0))</f>
      </c>
      <c r="O33" s="12">
        <f>IF(OR($A33="",$E33="",$C33=""),0,IF(AND(10&gt;=$C33,OR($D33="",10&lt;=$D33)),$E33/12*(1+Assumptions!$B$26),0))</f>
      </c>
      <c r="P33" s="12">
        <f>IF(OR($A33="",$E33="",$C33=""),0,IF(AND(11&gt;=$C33,OR($D33="",11&lt;=$D33)),$E33/12*(1+Assumptions!$B$26),0))</f>
      </c>
      <c r="Q33" s="12">
        <f>IF(OR($A33="",$E33="",$C33=""),0,IF(AND(12&gt;=$C33,OR($D33="",12&lt;=$D33)),$E33/12*(1+Assumptions!$B$26),0))</f>
      </c>
      <c r="R33" s="12">
        <f>IF(OR($A33="",$E33="",$C33=""),0,IF(AND(13&gt;=$C33,OR($D33="",13&lt;=$D33)),$E33/12*(1+Assumptions!$B$26),0))</f>
      </c>
      <c r="S33" s="12">
        <f>IF(OR($A33="",$E33="",$C33=""),0,IF(AND(14&gt;=$C33,OR($D33="",14&lt;=$D33)),$E33/12*(1+Assumptions!$B$26),0))</f>
      </c>
      <c r="T33" s="12">
        <f>IF(OR($A33="",$E33="",$C33=""),0,IF(AND(15&gt;=$C33,OR($D33="",15&lt;=$D33)),$E33/12*(1+Assumptions!$B$26),0))</f>
      </c>
      <c r="U33" s="12">
        <f>IF(OR($A33="",$E33="",$C33=""),0,IF(AND(16&gt;=$C33,OR($D33="",16&lt;=$D33)),$E33/12*(1+Assumptions!$B$26),0))</f>
      </c>
      <c r="V33" s="12">
        <f>IF(OR($A33="",$E33="",$C33=""),0,IF(AND(17&gt;=$C33,OR($D33="",17&lt;=$D33)),$E33/12*(1+Assumptions!$B$26),0))</f>
      </c>
      <c r="W33" s="12">
        <f>IF(OR($A33="",$E33="",$C33=""),0,IF(AND(18&gt;=$C33,OR($D33="",18&lt;=$D33)),$E33/12*(1+Assumptions!$B$26),0))</f>
      </c>
      <c r="X33" s="12">
        <f>IF(OR($A33="",$E33="",$C33=""),0,IF(AND(19&gt;=$C33,OR($D33="",19&lt;=$D33)),$E33/12*(1+Assumptions!$B$26),0))</f>
      </c>
      <c r="Y33" s="12">
        <f>IF(OR($A33="",$E33="",$C33=""),0,IF(AND(20&gt;=$C33,OR($D33="",20&lt;=$D33)),$E33/12*(1+Assumptions!$B$26),0))</f>
      </c>
      <c r="Z33" s="12">
        <f>IF(OR($A33="",$E33="",$C33=""),0,IF(AND(21&gt;=$C33,OR($D33="",21&lt;=$D33)),$E33/12*(1+Assumptions!$B$26),0))</f>
      </c>
      <c r="AA33" s="12">
        <f>IF(OR($A33="",$E33="",$C33=""),0,IF(AND(22&gt;=$C33,OR($D33="",22&lt;=$D33)),$E33/12*(1+Assumptions!$B$26),0))</f>
      </c>
      <c r="AB33" s="12">
        <f>IF(OR($A33="",$E33="",$C33=""),0,IF(AND(23&gt;=$C33,OR($D33="",23&lt;=$D33)),$E33/12*(1+Assumptions!$B$26),0))</f>
      </c>
      <c r="AC33" s="12">
        <f>IF(OR($A33="",$E33="",$C33=""),0,IF(AND(24&gt;=$C33,OR($D33="",24&lt;=$D33)),$E33/12*(1+Assumptions!$B$26),0))</f>
      </c>
    </row>
    <row r="34" spans="1:29" x14ac:dyDescent="0.25">
      <c r="A34" s="9"/>
      <c r="B34" s="9"/>
      <c r="C34" s="9"/>
      <c r="D34" s="9"/>
      <c r="E34" s="7"/>
      <c r="F34" s="12">
        <f>IF(OR($A34="",$E34="",$C34=""),0,IF(AND(1&gt;=$C34,OR($D34="",1&lt;=$D34)),$E34/12*(1+Assumptions!$B$26),0))</f>
      </c>
      <c r="G34" s="12">
        <f>IF(OR($A34="",$E34="",$C34=""),0,IF(AND(2&gt;=$C34,OR($D34="",2&lt;=$D34)),$E34/12*(1+Assumptions!$B$26),0))</f>
      </c>
      <c r="H34" s="12">
        <f>IF(OR($A34="",$E34="",$C34=""),0,IF(AND(3&gt;=$C34,OR($D34="",3&lt;=$D34)),$E34/12*(1+Assumptions!$B$26),0))</f>
      </c>
      <c r="I34" s="12">
        <f>IF(OR($A34="",$E34="",$C34=""),0,IF(AND(4&gt;=$C34,OR($D34="",4&lt;=$D34)),$E34/12*(1+Assumptions!$B$26),0))</f>
      </c>
      <c r="J34" s="12">
        <f>IF(OR($A34="",$E34="",$C34=""),0,IF(AND(5&gt;=$C34,OR($D34="",5&lt;=$D34)),$E34/12*(1+Assumptions!$B$26),0))</f>
      </c>
      <c r="K34" s="12">
        <f>IF(OR($A34="",$E34="",$C34=""),0,IF(AND(6&gt;=$C34,OR($D34="",6&lt;=$D34)),$E34/12*(1+Assumptions!$B$26),0))</f>
      </c>
      <c r="L34" s="12">
        <f>IF(OR($A34="",$E34="",$C34=""),0,IF(AND(7&gt;=$C34,OR($D34="",7&lt;=$D34)),$E34/12*(1+Assumptions!$B$26),0))</f>
      </c>
      <c r="M34" s="12">
        <f>IF(OR($A34="",$E34="",$C34=""),0,IF(AND(8&gt;=$C34,OR($D34="",8&lt;=$D34)),$E34/12*(1+Assumptions!$B$26),0))</f>
      </c>
      <c r="N34" s="12">
        <f>IF(OR($A34="",$E34="",$C34=""),0,IF(AND(9&gt;=$C34,OR($D34="",9&lt;=$D34)),$E34/12*(1+Assumptions!$B$26),0))</f>
      </c>
      <c r="O34" s="12">
        <f>IF(OR($A34="",$E34="",$C34=""),0,IF(AND(10&gt;=$C34,OR($D34="",10&lt;=$D34)),$E34/12*(1+Assumptions!$B$26),0))</f>
      </c>
      <c r="P34" s="12">
        <f>IF(OR($A34="",$E34="",$C34=""),0,IF(AND(11&gt;=$C34,OR($D34="",11&lt;=$D34)),$E34/12*(1+Assumptions!$B$26),0))</f>
      </c>
      <c r="Q34" s="12">
        <f>IF(OR($A34="",$E34="",$C34=""),0,IF(AND(12&gt;=$C34,OR($D34="",12&lt;=$D34)),$E34/12*(1+Assumptions!$B$26),0))</f>
      </c>
      <c r="R34" s="12">
        <f>IF(OR($A34="",$E34="",$C34=""),0,IF(AND(13&gt;=$C34,OR($D34="",13&lt;=$D34)),$E34/12*(1+Assumptions!$B$26),0))</f>
      </c>
      <c r="S34" s="12">
        <f>IF(OR($A34="",$E34="",$C34=""),0,IF(AND(14&gt;=$C34,OR($D34="",14&lt;=$D34)),$E34/12*(1+Assumptions!$B$26),0))</f>
      </c>
      <c r="T34" s="12">
        <f>IF(OR($A34="",$E34="",$C34=""),0,IF(AND(15&gt;=$C34,OR($D34="",15&lt;=$D34)),$E34/12*(1+Assumptions!$B$26),0))</f>
      </c>
      <c r="U34" s="12">
        <f>IF(OR($A34="",$E34="",$C34=""),0,IF(AND(16&gt;=$C34,OR($D34="",16&lt;=$D34)),$E34/12*(1+Assumptions!$B$26),0))</f>
      </c>
      <c r="V34" s="12">
        <f>IF(OR($A34="",$E34="",$C34=""),0,IF(AND(17&gt;=$C34,OR($D34="",17&lt;=$D34)),$E34/12*(1+Assumptions!$B$26),0))</f>
      </c>
      <c r="W34" s="12">
        <f>IF(OR($A34="",$E34="",$C34=""),0,IF(AND(18&gt;=$C34,OR($D34="",18&lt;=$D34)),$E34/12*(1+Assumptions!$B$26),0))</f>
      </c>
      <c r="X34" s="12">
        <f>IF(OR($A34="",$E34="",$C34=""),0,IF(AND(19&gt;=$C34,OR($D34="",19&lt;=$D34)),$E34/12*(1+Assumptions!$B$26),0))</f>
      </c>
      <c r="Y34" s="12">
        <f>IF(OR($A34="",$E34="",$C34=""),0,IF(AND(20&gt;=$C34,OR($D34="",20&lt;=$D34)),$E34/12*(1+Assumptions!$B$26),0))</f>
      </c>
      <c r="Z34" s="12">
        <f>IF(OR($A34="",$E34="",$C34=""),0,IF(AND(21&gt;=$C34,OR($D34="",21&lt;=$D34)),$E34/12*(1+Assumptions!$B$26),0))</f>
      </c>
      <c r="AA34" s="12">
        <f>IF(OR($A34="",$E34="",$C34=""),0,IF(AND(22&gt;=$C34,OR($D34="",22&lt;=$D34)),$E34/12*(1+Assumptions!$B$26),0))</f>
      </c>
      <c r="AB34" s="12">
        <f>IF(OR($A34="",$E34="",$C34=""),0,IF(AND(23&gt;=$C34,OR($D34="",23&lt;=$D34)),$E34/12*(1+Assumptions!$B$26),0))</f>
      </c>
      <c r="AC34" s="12">
        <f>IF(OR($A34="",$E34="",$C34=""),0,IF(AND(24&gt;=$C34,OR($D34="",24&lt;=$D34)),$E34/12*(1+Assumptions!$B$26),0))</f>
      </c>
    </row>
    <row r="35" spans="1:29" x14ac:dyDescent="0.25">
      <c r="A35" s="9"/>
      <c r="B35" s="9"/>
      <c r="C35" s="9"/>
      <c r="D35" s="9"/>
      <c r="E35" s="7"/>
      <c r="F35" s="12">
        <f>IF(OR($A35="",$E35="",$C35=""),0,IF(AND(1&gt;=$C35,OR($D35="",1&lt;=$D35)),$E35/12*(1+Assumptions!$B$26),0))</f>
      </c>
      <c r="G35" s="12">
        <f>IF(OR($A35="",$E35="",$C35=""),0,IF(AND(2&gt;=$C35,OR($D35="",2&lt;=$D35)),$E35/12*(1+Assumptions!$B$26),0))</f>
      </c>
      <c r="H35" s="12">
        <f>IF(OR($A35="",$E35="",$C35=""),0,IF(AND(3&gt;=$C35,OR($D35="",3&lt;=$D35)),$E35/12*(1+Assumptions!$B$26),0))</f>
      </c>
      <c r="I35" s="12">
        <f>IF(OR($A35="",$E35="",$C35=""),0,IF(AND(4&gt;=$C35,OR($D35="",4&lt;=$D35)),$E35/12*(1+Assumptions!$B$26),0))</f>
      </c>
      <c r="J35" s="12">
        <f>IF(OR($A35="",$E35="",$C35=""),0,IF(AND(5&gt;=$C35,OR($D35="",5&lt;=$D35)),$E35/12*(1+Assumptions!$B$26),0))</f>
      </c>
      <c r="K35" s="12">
        <f>IF(OR($A35="",$E35="",$C35=""),0,IF(AND(6&gt;=$C35,OR($D35="",6&lt;=$D35)),$E35/12*(1+Assumptions!$B$26),0))</f>
      </c>
      <c r="L35" s="12">
        <f>IF(OR($A35="",$E35="",$C35=""),0,IF(AND(7&gt;=$C35,OR($D35="",7&lt;=$D35)),$E35/12*(1+Assumptions!$B$26),0))</f>
      </c>
      <c r="M35" s="12">
        <f>IF(OR($A35="",$E35="",$C35=""),0,IF(AND(8&gt;=$C35,OR($D35="",8&lt;=$D35)),$E35/12*(1+Assumptions!$B$26),0))</f>
      </c>
      <c r="N35" s="12">
        <f>IF(OR($A35="",$E35="",$C35=""),0,IF(AND(9&gt;=$C35,OR($D35="",9&lt;=$D35)),$E35/12*(1+Assumptions!$B$26),0))</f>
      </c>
      <c r="O35" s="12">
        <f>IF(OR($A35="",$E35="",$C35=""),0,IF(AND(10&gt;=$C35,OR($D35="",10&lt;=$D35)),$E35/12*(1+Assumptions!$B$26),0))</f>
      </c>
      <c r="P35" s="12">
        <f>IF(OR($A35="",$E35="",$C35=""),0,IF(AND(11&gt;=$C35,OR($D35="",11&lt;=$D35)),$E35/12*(1+Assumptions!$B$26),0))</f>
      </c>
      <c r="Q35" s="12">
        <f>IF(OR($A35="",$E35="",$C35=""),0,IF(AND(12&gt;=$C35,OR($D35="",12&lt;=$D35)),$E35/12*(1+Assumptions!$B$26),0))</f>
      </c>
      <c r="R35" s="12">
        <f>IF(OR($A35="",$E35="",$C35=""),0,IF(AND(13&gt;=$C35,OR($D35="",13&lt;=$D35)),$E35/12*(1+Assumptions!$B$26),0))</f>
      </c>
      <c r="S35" s="12">
        <f>IF(OR($A35="",$E35="",$C35=""),0,IF(AND(14&gt;=$C35,OR($D35="",14&lt;=$D35)),$E35/12*(1+Assumptions!$B$26),0))</f>
      </c>
      <c r="T35" s="12">
        <f>IF(OR($A35="",$E35="",$C35=""),0,IF(AND(15&gt;=$C35,OR($D35="",15&lt;=$D35)),$E35/12*(1+Assumptions!$B$26),0))</f>
      </c>
      <c r="U35" s="12">
        <f>IF(OR($A35="",$E35="",$C35=""),0,IF(AND(16&gt;=$C35,OR($D35="",16&lt;=$D35)),$E35/12*(1+Assumptions!$B$26),0))</f>
      </c>
      <c r="V35" s="12">
        <f>IF(OR($A35="",$E35="",$C35=""),0,IF(AND(17&gt;=$C35,OR($D35="",17&lt;=$D35)),$E35/12*(1+Assumptions!$B$26),0))</f>
      </c>
      <c r="W35" s="12">
        <f>IF(OR($A35="",$E35="",$C35=""),0,IF(AND(18&gt;=$C35,OR($D35="",18&lt;=$D35)),$E35/12*(1+Assumptions!$B$26),0))</f>
      </c>
      <c r="X35" s="12">
        <f>IF(OR($A35="",$E35="",$C35=""),0,IF(AND(19&gt;=$C35,OR($D35="",19&lt;=$D35)),$E35/12*(1+Assumptions!$B$26),0))</f>
      </c>
      <c r="Y35" s="12">
        <f>IF(OR($A35="",$E35="",$C35=""),0,IF(AND(20&gt;=$C35,OR($D35="",20&lt;=$D35)),$E35/12*(1+Assumptions!$B$26),0))</f>
      </c>
      <c r="Z35" s="12">
        <f>IF(OR($A35="",$E35="",$C35=""),0,IF(AND(21&gt;=$C35,OR($D35="",21&lt;=$D35)),$E35/12*(1+Assumptions!$B$26),0))</f>
      </c>
      <c r="AA35" s="12">
        <f>IF(OR($A35="",$E35="",$C35=""),0,IF(AND(22&gt;=$C35,OR($D35="",22&lt;=$D35)),$E35/12*(1+Assumptions!$B$26),0))</f>
      </c>
      <c r="AB35" s="12">
        <f>IF(OR($A35="",$E35="",$C35=""),0,IF(AND(23&gt;=$C35,OR($D35="",23&lt;=$D35)),$E35/12*(1+Assumptions!$B$26),0))</f>
      </c>
      <c r="AC35" s="12">
        <f>IF(OR($A35="",$E35="",$C35=""),0,IF(AND(24&gt;=$C35,OR($D35="",24&lt;=$D35)),$E35/12*(1+Assumptions!$B$26),0))</f>
      </c>
    </row>
    <row r="36" spans="1:29" x14ac:dyDescent="0.25">
      <c r="A36" s="9"/>
      <c r="B36" s="9"/>
      <c r="C36" s="9"/>
      <c r="D36" s="9"/>
      <c r="E36" s="7"/>
      <c r="F36" s="12">
        <f>IF(OR($A36="",$E36="",$C36=""),0,IF(AND(1&gt;=$C36,OR($D36="",1&lt;=$D36)),$E36/12*(1+Assumptions!$B$26),0))</f>
      </c>
      <c r="G36" s="12">
        <f>IF(OR($A36="",$E36="",$C36=""),0,IF(AND(2&gt;=$C36,OR($D36="",2&lt;=$D36)),$E36/12*(1+Assumptions!$B$26),0))</f>
      </c>
      <c r="H36" s="12">
        <f>IF(OR($A36="",$E36="",$C36=""),0,IF(AND(3&gt;=$C36,OR($D36="",3&lt;=$D36)),$E36/12*(1+Assumptions!$B$26),0))</f>
      </c>
      <c r="I36" s="12">
        <f>IF(OR($A36="",$E36="",$C36=""),0,IF(AND(4&gt;=$C36,OR($D36="",4&lt;=$D36)),$E36/12*(1+Assumptions!$B$26),0))</f>
      </c>
      <c r="J36" s="12">
        <f>IF(OR($A36="",$E36="",$C36=""),0,IF(AND(5&gt;=$C36,OR($D36="",5&lt;=$D36)),$E36/12*(1+Assumptions!$B$26),0))</f>
      </c>
      <c r="K36" s="12">
        <f>IF(OR($A36="",$E36="",$C36=""),0,IF(AND(6&gt;=$C36,OR($D36="",6&lt;=$D36)),$E36/12*(1+Assumptions!$B$26),0))</f>
      </c>
      <c r="L36" s="12">
        <f>IF(OR($A36="",$E36="",$C36=""),0,IF(AND(7&gt;=$C36,OR($D36="",7&lt;=$D36)),$E36/12*(1+Assumptions!$B$26),0))</f>
      </c>
      <c r="M36" s="12">
        <f>IF(OR($A36="",$E36="",$C36=""),0,IF(AND(8&gt;=$C36,OR($D36="",8&lt;=$D36)),$E36/12*(1+Assumptions!$B$26),0))</f>
      </c>
      <c r="N36" s="12">
        <f>IF(OR($A36="",$E36="",$C36=""),0,IF(AND(9&gt;=$C36,OR($D36="",9&lt;=$D36)),$E36/12*(1+Assumptions!$B$26),0))</f>
      </c>
      <c r="O36" s="12">
        <f>IF(OR($A36="",$E36="",$C36=""),0,IF(AND(10&gt;=$C36,OR($D36="",10&lt;=$D36)),$E36/12*(1+Assumptions!$B$26),0))</f>
      </c>
      <c r="P36" s="12">
        <f>IF(OR($A36="",$E36="",$C36=""),0,IF(AND(11&gt;=$C36,OR($D36="",11&lt;=$D36)),$E36/12*(1+Assumptions!$B$26),0))</f>
      </c>
      <c r="Q36" s="12">
        <f>IF(OR($A36="",$E36="",$C36=""),0,IF(AND(12&gt;=$C36,OR($D36="",12&lt;=$D36)),$E36/12*(1+Assumptions!$B$26),0))</f>
      </c>
      <c r="R36" s="12">
        <f>IF(OR($A36="",$E36="",$C36=""),0,IF(AND(13&gt;=$C36,OR($D36="",13&lt;=$D36)),$E36/12*(1+Assumptions!$B$26),0))</f>
      </c>
      <c r="S36" s="12">
        <f>IF(OR($A36="",$E36="",$C36=""),0,IF(AND(14&gt;=$C36,OR($D36="",14&lt;=$D36)),$E36/12*(1+Assumptions!$B$26),0))</f>
      </c>
      <c r="T36" s="12">
        <f>IF(OR($A36="",$E36="",$C36=""),0,IF(AND(15&gt;=$C36,OR($D36="",15&lt;=$D36)),$E36/12*(1+Assumptions!$B$26),0))</f>
      </c>
      <c r="U36" s="12">
        <f>IF(OR($A36="",$E36="",$C36=""),0,IF(AND(16&gt;=$C36,OR($D36="",16&lt;=$D36)),$E36/12*(1+Assumptions!$B$26),0))</f>
      </c>
      <c r="V36" s="12">
        <f>IF(OR($A36="",$E36="",$C36=""),0,IF(AND(17&gt;=$C36,OR($D36="",17&lt;=$D36)),$E36/12*(1+Assumptions!$B$26),0))</f>
      </c>
      <c r="W36" s="12">
        <f>IF(OR($A36="",$E36="",$C36=""),0,IF(AND(18&gt;=$C36,OR($D36="",18&lt;=$D36)),$E36/12*(1+Assumptions!$B$26),0))</f>
      </c>
      <c r="X36" s="12">
        <f>IF(OR($A36="",$E36="",$C36=""),0,IF(AND(19&gt;=$C36,OR($D36="",19&lt;=$D36)),$E36/12*(1+Assumptions!$B$26),0))</f>
      </c>
      <c r="Y36" s="12">
        <f>IF(OR($A36="",$E36="",$C36=""),0,IF(AND(20&gt;=$C36,OR($D36="",20&lt;=$D36)),$E36/12*(1+Assumptions!$B$26),0))</f>
      </c>
      <c r="Z36" s="12">
        <f>IF(OR($A36="",$E36="",$C36=""),0,IF(AND(21&gt;=$C36,OR($D36="",21&lt;=$D36)),$E36/12*(1+Assumptions!$B$26),0))</f>
      </c>
      <c r="AA36" s="12">
        <f>IF(OR($A36="",$E36="",$C36=""),0,IF(AND(22&gt;=$C36,OR($D36="",22&lt;=$D36)),$E36/12*(1+Assumptions!$B$26),0))</f>
      </c>
      <c r="AB36" s="12">
        <f>IF(OR($A36="",$E36="",$C36=""),0,IF(AND(23&gt;=$C36,OR($D36="",23&lt;=$D36)),$E36/12*(1+Assumptions!$B$26),0))</f>
      </c>
      <c r="AC36" s="12">
        <f>IF(OR($A36="",$E36="",$C36=""),0,IF(AND(24&gt;=$C36,OR($D36="",24&lt;=$D36)),$E36/12*(1+Assumptions!$B$26),0))</f>
      </c>
    </row>
    <row r="37" spans="1:29" x14ac:dyDescent="0.25">
      <c r="A37" s="9"/>
      <c r="B37" s="9"/>
      <c r="C37" s="9"/>
      <c r="D37" s="9"/>
      <c r="E37" s="7"/>
      <c r="F37" s="12">
        <f>IF(OR($A37="",$E37="",$C37=""),0,IF(AND(1&gt;=$C37,OR($D37="",1&lt;=$D37)),$E37/12*(1+Assumptions!$B$26),0))</f>
      </c>
      <c r="G37" s="12">
        <f>IF(OR($A37="",$E37="",$C37=""),0,IF(AND(2&gt;=$C37,OR($D37="",2&lt;=$D37)),$E37/12*(1+Assumptions!$B$26),0))</f>
      </c>
      <c r="H37" s="12">
        <f>IF(OR($A37="",$E37="",$C37=""),0,IF(AND(3&gt;=$C37,OR($D37="",3&lt;=$D37)),$E37/12*(1+Assumptions!$B$26),0))</f>
      </c>
      <c r="I37" s="12">
        <f>IF(OR($A37="",$E37="",$C37=""),0,IF(AND(4&gt;=$C37,OR($D37="",4&lt;=$D37)),$E37/12*(1+Assumptions!$B$26),0))</f>
      </c>
      <c r="J37" s="12">
        <f>IF(OR($A37="",$E37="",$C37=""),0,IF(AND(5&gt;=$C37,OR($D37="",5&lt;=$D37)),$E37/12*(1+Assumptions!$B$26),0))</f>
      </c>
      <c r="K37" s="12">
        <f>IF(OR($A37="",$E37="",$C37=""),0,IF(AND(6&gt;=$C37,OR($D37="",6&lt;=$D37)),$E37/12*(1+Assumptions!$B$26),0))</f>
      </c>
      <c r="L37" s="12">
        <f>IF(OR($A37="",$E37="",$C37=""),0,IF(AND(7&gt;=$C37,OR($D37="",7&lt;=$D37)),$E37/12*(1+Assumptions!$B$26),0))</f>
      </c>
      <c r="M37" s="12">
        <f>IF(OR($A37="",$E37="",$C37=""),0,IF(AND(8&gt;=$C37,OR($D37="",8&lt;=$D37)),$E37/12*(1+Assumptions!$B$26),0))</f>
      </c>
      <c r="N37" s="12">
        <f>IF(OR($A37="",$E37="",$C37=""),0,IF(AND(9&gt;=$C37,OR($D37="",9&lt;=$D37)),$E37/12*(1+Assumptions!$B$26),0))</f>
      </c>
      <c r="O37" s="12">
        <f>IF(OR($A37="",$E37="",$C37=""),0,IF(AND(10&gt;=$C37,OR($D37="",10&lt;=$D37)),$E37/12*(1+Assumptions!$B$26),0))</f>
      </c>
      <c r="P37" s="12">
        <f>IF(OR($A37="",$E37="",$C37=""),0,IF(AND(11&gt;=$C37,OR($D37="",11&lt;=$D37)),$E37/12*(1+Assumptions!$B$26),0))</f>
      </c>
      <c r="Q37" s="12">
        <f>IF(OR($A37="",$E37="",$C37=""),0,IF(AND(12&gt;=$C37,OR($D37="",12&lt;=$D37)),$E37/12*(1+Assumptions!$B$26),0))</f>
      </c>
      <c r="R37" s="12">
        <f>IF(OR($A37="",$E37="",$C37=""),0,IF(AND(13&gt;=$C37,OR($D37="",13&lt;=$D37)),$E37/12*(1+Assumptions!$B$26),0))</f>
      </c>
      <c r="S37" s="12">
        <f>IF(OR($A37="",$E37="",$C37=""),0,IF(AND(14&gt;=$C37,OR($D37="",14&lt;=$D37)),$E37/12*(1+Assumptions!$B$26),0))</f>
      </c>
      <c r="T37" s="12">
        <f>IF(OR($A37="",$E37="",$C37=""),0,IF(AND(15&gt;=$C37,OR($D37="",15&lt;=$D37)),$E37/12*(1+Assumptions!$B$26),0))</f>
      </c>
      <c r="U37" s="12">
        <f>IF(OR($A37="",$E37="",$C37=""),0,IF(AND(16&gt;=$C37,OR($D37="",16&lt;=$D37)),$E37/12*(1+Assumptions!$B$26),0))</f>
      </c>
      <c r="V37" s="12">
        <f>IF(OR($A37="",$E37="",$C37=""),0,IF(AND(17&gt;=$C37,OR($D37="",17&lt;=$D37)),$E37/12*(1+Assumptions!$B$26),0))</f>
      </c>
      <c r="W37" s="12">
        <f>IF(OR($A37="",$E37="",$C37=""),0,IF(AND(18&gt;=$C37,OR($D37="",18&lt;=$D37)),$E37/12*(1+Assumptions!$B$26),0))</f>
      </c>
      <c r="X37" s="12">
        <f>IF(OR($A37="",$E37="",$C37=""),0,IF(AND(19&gt;=$C37,OR($D37="",19&lt;=$D37)),$E37/12*(1+Assumptions!$B$26),0))</f>
      </c>
      <c r="Y37" s="12">
        <f>IF(OR($A37="",$E37="",$C37=""),0,IF(AND(20&gt;=$C37,OR($D37="",20&lt;=$D37)),$E37/12*(1+Assumptions!$B$26),0))</f>
      </c>
      <c r="Z37" s="12">
        <f>IF(OR($A37="",$E37="",$C37=""),0,IF(AND(21&gt;=$C37,OR($D37="",21&lt;=$D37)),$E37/12*(1+Assumptions!$B$26),0))</f>
      </c>
      <c r="AA37" s="12">
        <f>IF(OR($A37="",$E37="",$C37=""),0,IF(AND(22&gt;=$C37,OR($D37="",22&lt;=$D37)),$E37/12*(1+Assumptions!$B$26),0))</f>
      </c>
      <c r="AB37" s="12">
        <f>IF(OR($A37="",$E37="",$C37=""),0,IF(AND(23&gt;=$C37,OR($D37="",23&lt;=$D37)),$E37/12*(1+Assumptions!$B$26),0))</f>
      </c>
      <c r="AC37" s="12">
        <f>IF(OR($A37="",$E37="",$C37=""),0,IF(AND(24&gt;=$C37,OR($D37="",24&lt;=$D37)),$E37/12*(1+Assumptions!$B$26),0))</f>
      </c>
    </row>
    <row r="38" spans="1:29" x14ac:dyDescent="0.25">
      <c r="A38" s="9"/>
      <c r="B38" s="9"/>
      <c r="C38" s="9"/>
      <c r="D38" s="9"/>
      <c r="E38" s="7"/>
      <c r="F38" s="12">
        <f>IF(OR($A38="",$E38="",$C38=""),0,IF(AND(1&gt;=$C38,OR($D38="",1&lt;=$D38)),$E38/12*(1+Assumptions!$B$26),0))</f>
      </c>
      <c r="G38" s="12">
        <f>IF(OR($A38="",$E38="",$C38=""),0,IF(AND(2&gt;=$C38,OR($D38="",2&lt;=$D38)),$E38/12*(1+Assumptions!$B$26),0))</f>
      </c>
      <c r="H38" s="12">
        <f>IF(OR($A38="",$E38="",$C38=""),0,IF(AND(3&gt;=$C38,OR($D38="",3&lt;=$D38)),$E38/12*(1+Assumptions!$B$26),0))</f>
      </c>
      <c r="I38" s="12">
        <f>IF(OR($A38="",$E38="",$C38=""),0,IF(AND(4&gt;=$C38,OR($D38="",4&lt;=$D38)),$E38/12*(1+Assumptions!$B$26),0))</f>
      </c>
      <c r="J38" s="12">
        <f>IF(OR($A38="",$E38="",$C38=""),0,IF(AND(5&gt;=$C38,OR($D38="",5&lt;=$D38)),$E38/12*(1+Assumptions!$B$26),0))</f>
      </c>
      <c r="K38" s="12">
        <f>IF(OR($A38="",$E38="",$C38=""),0,IF(AND(6&gt;=$C38,OR($D38="",6&lt;=$D38)),$E38/12*(1+Assumptions!$B$26),0))</f>
      </c>
      <c r="L38" s="12">
        <f>IF(OR($A38="",$E38="",$C38=""),0,IF(AND(7&gt;=$C38,OR($D38="",7&lt;=$D38)),$E38/12*(1+Assumptions!$B$26),0))</f>
      </c>
      <c r="M38" s="12">
        <f>IF(OR($A38="",$E38="",$C38=""),0,IF(AND(8&gt;=$C38,OR($D38="",8&lt;=$D38)),$E38/12*(1+Assumptions!$B$26),0))</f>
      </c>
      <c r="N38" s="12">
        <f>IF(OR($A38="",$E38="",$C38=""),0,IF(AND(9&gt;=$C38,OR($D38="",9&lt;=$D38)),$E38/12*(1+Assumptions!$B$26),0))</f>
      </c>
      <c r="O38" s="12">
        <f>IF(OR($A38="",$E38="",$C38=""),0,IF(AND(10&gt;=$C38,OR($D38="",10&lt;=$D38)),$E38/12*(1+Assumptions!$B$26),0))</f>
      </c>
      <c r="P38" s="12">
        <f>IF(OR($A38="",$E38="",$C38=""),0,IF(AND(11&gt;=$C38,OR($D38="",11&lt;=$D38)),$E38/12*(1+Assumptions!$B$26),0))</f>
      </c>
      <c r="Q38" s="12">
        <f>IF(OR($A38="",$E38="",$C38=""),0,IF(AND(12&gt;=$C38,OR($D38="",12&lt;=$D38)),$E38/12*(1+Assumptions!$B$26),0))</f>
      </c>
      <c r="R38" s="12">
        <f>IF(OR($A38="",$E38="",$C38=""),0,IF(AND(13&gt;=$C38,OR($D38="",13&lt;=$D38)),$E38/12*(1+Assumptions!$B$26),0))</f>
      </c>
      <c r="S38" s="12">
        <f>IF(OR($A38="",$E38="",$C38=""),0,IF(AND(14&gt;=$C38,OR($D38="",14&lt;=$D38)),$E38/12*(1+Assumptions!$B$26),0))</f>
      </c>
      <c r="T38" s="12">
        <f>IF(OR($A38="",$E38="",$C38=""),0,IF(AND(15&gt;=$C38,OR($D38="",15&lt;=$D38)),$E38/12*(1+Assumptions!$B$26),0))</f>
      </c>
      <c r="U38" s="12">
        <f>IF(OR($A38="",$E38="",$C38=""),0,IF(AND(16&gt;=$C38,OR($D38="",16&lt;=$D38)),$E38/12*(1+Assumptions!$B$26),0))</f>
      </c>
      <c r="V38" s="12">
        <f>IF(OR($A38="",$E38="",$C38=""),0,IF(AND(17&gt;=$C38,OR($D38="",17&lt;=$D38)),$E38/12*(1+Assumptions!$B$26),0))</f>
      </c>
      <c r="W38" s="12">
        <f>IF(OR($A38="",$E38="",$C38=""),0,IF(AND(18&gt;=$C38,OR($D38="",18&lt;=$D38)),$E38/12*(1+Assumptions!$B$26),0))</f>
      </c>
      <c r="X38" s="12">
        <f>IF(OR($A38="",$E38="",$C38=""),0,IF(AND(19&gt;=$C38,OR($D38="",19&lt;=$D38)),$E38/12*(1+Assumptions!$B$26),0))</f>
      </c>
      <c r="Y38" s="12">
        <f>IF(OR($A38="",$E38="",$C38=""),0,IF(AND(20&gt;=$C38,OR($D38="",20&lt;=$D38)),$E38/12*(1+Assumptions!$B$26),0))</f>
      </c>
      <c r="Z38" s="12">
        <f>IF(OR($A38="",$E38="",$C38=""),0,IF(AND(21&gt;=$C38,OR($D38="",21&lt;=$D38)),$E38/12*(1+Assumptions!$B$26),0))</f>
      </c>
      <c r="AA38" s="12">
        <f>IF(OR($A38="",$E38="",$C38=""),0,IF(AND(22&gt;=$C38,OR($D38="",22&lt;=$D38)),$E38/12*(1+Assumptions!$B$26),0))</f>
      </c>
      <c r="AB38" s="12">
        <f>IF(OR($A38="",$E38="",$C38=""),0,IF(AND(23&gt;=$C38,OR($D38="",23&lt;=$D38)),$E38/12*(1+Assumptions!$B$26),0))</f>
      </c>
      <c r="AC38" s="12">
        <f>IF(OR($A38="",$E38="",$C38=""),0,IF(AND(24&gt;=$C38,OR($D38="",24&lt;=$D38)),$E38/12*(1+Assumptions!$B$26),0))</f>
      </c>
    </row>
    <row r="39" spans="1:29" x14ac:dyDescent="0.25">
      <c r="A39" s="9"/>
      <c r="B39" s="9"/>
      <c r="C39" s="9"/>
      <c r="D39" s="9"/>
      <c r="E39" s="7"/>
      <c r="F39" s="12">
        <f>IF(OR($A39="",$E39="",$C39=""),0,IF(AND(1&gt;=$C39,OR($D39="",1&lt;=$D39)),$E39/12*(1+Assumptions!$B$26),0))</f>
      </c>
      <c r="G39" s="12">
        <f>IF(OR($A39="",$E39="",$C39=""),0,IF(AND(2&gt;=$C39,OR($D39="",2&lt;=$D39)),$E39/12*(1+Assumptions!$B$26),0))</f>
      </c>
      <c r="H39" s="12">
        <f>IF(OR($A39="",$E39="",$C39=""),0,IF(AND(3&gt;=$C39,OR($D39="",3&lt;=$D39)),$E39/12*(1+Assumptions!$B$26),0))</f>
      </c>
      <c r="I39" s="12">
        <f>IF(OR($A39="",$E39="",$C39=""),0,IF(AND(4&gt;=$C39,OR($D39="",4&lt;=$D39)),$E39/12*(1+Assumptions!$B$26),0))</f>
      </c>
      <c r="J39" s="12">
        <f>IF(OR($A39="",$E39="",$C39=""),0,IF(AND(5&gt;=$C39,OR($D39="",5&lt;=$D39)),$E39/12*(1+Assumptions!$B$26),0))</f>
      </c>
      <c r="K39" s="12">
        <f>IF(OR($A39="",$E39="",$C39=""),0,IF(AND(6&gt;=$C39,OR($D39="",6&lt;=$D39)),$E39/12*(1+Assumptions!$B$26),0))</f>
      </c>
      <c r="L39" s="12">
        <f>IF(OR($A39="",$E39="",$C39=""),0,IF(AND(7&gt;=$C39,OR($D39="",7&lt;=$D39)),$E39/12*(1+Assumptions!$B$26),0))</f>
      </c>
      <c r="M39" s="12">
        <f>IF(OR($A39="",$E39="",$C39=""),0,IF(AND(8&gt;=$C39,OR($D39="",8&lt;=$D39)),$E39/12*(1+Assumptions!$B$26),0))</f>
      </c>
      <c r="N39" s="12">
        <f>IF(OR($A39="",$E39="",$C39=""),0,IF(AND(9&gt;=$C39,OR($D39="",9&lt;=$D39)),$E39/12*(1+Assumptions!$B$26),0))</f>
      </c>
      <c r="O39" s="12">
        <f>IF(OR($A39="",$E39="",$C39=""),0,IF(AND(10&gt;=$C39,OR($D39="",10&lt;=$D39)),$E39/12*(1+Assumptions!$B$26),0))</f>
      </c>
      <c r="P39" s="12">
        <f>IF(OR($A39="",$E39="",$C39=""),0,IF(AND(11&gt;=$C39,OR($D39="",11&lt;=$D39)),$E39/12*(1+Assumptions!$B$26),0))</f>
      </c>
      <c r="Q39" s="12">
        <f>IF(OR($A39="",$E39="",$C39=""),0,IF(AND(12&gt;=$C39,OR($D39="",12&lt;=$D39)),$E39/12*(1+Assumptions!$B$26),0))</f>
      </c>
      <c r="R39" s="12">
        <f>IF(OR($A39="",$E39="",$C39=""),0,IF(AND(13&gt;=$C39,OR($D39="",13&lt;=$D39)),$E39/12*(1+Assumptions!$B$26),0))</f>
      </c>
      <c r="S39" s="12">
        <f>IF(OR($A39="",$E39="",$C39=""),0,IF(AND(14&gt;=$C39,OR($D39="",14&lt;=$D39)),$E39/12*(1+Assumptions!$B$26),0))</f>
      </c>
      <c r="T39" s="12">
        <f>IF(OR($A39="",$E39="",$C39=""),0,IF(AND(15&gt;=$C39,OR($D39="",15&lt;=$D39)),$E39/12*(1+Assumptions!$B$26),0))</f>
      </c>
      <c r="U39" s="12">
        <f>IF(OR($A39="",$E39="",$C39=""),0,IF(AND(16&gt;=$C39,OR($D39="",16&lt;=$D39)),$E39/12*(1+Assumptions!$B$26),0))</f>
      </c>
      <c r="V39" s="12">
        <f>IF(OR($A39="",$E39="",$C39=""),0,IF(AND(17&gt;=$C39,OR($D39="",17&lt;=$D39)),$E39/12*(1+Assumptions!$B$26),0))</f>
      </c>
      <c r="W39" s="12">
        <f>IF(OR($A39="",$E39="",$C39=""),0,IF(AND(18&gt;=$C39,OR($D39="",18&lt;=$D39)),$E39/12*(1+Assumptions!$B$26),0))</f>
      </c>
      <c r="X39" s="12">
        <f>IF(OR($A39="",$E39="",$C39=""),0,IF(AND(19&gt;=$C39,OR($D39="",19&lt;=$D39)),$E39/12*(1+Assumptions!$B$26),0))</f>
      </c>
      <c r="Y39" s="12">
        <f>IF(OR($A39="",$E39="",$C39=""),0,IF(AND(20&gt;=$C39,OR($D39="",20&lt;=$D39)),$E39/12*(1+Assumptions!$B$26),0))</f>
      </c>
      <c r="Z39" s="12">
        <f>IF(OR($A39="",$E39="",$C39=""),0,IF(AND(21&gt;=$C39,OR($D39="",21&lt;=$D39)),$E39/12*(1+Assumptions!$B$26),0))</f>
      </c>
      <c r="AA39" s="12">
        <f>IF(OR($A39="",$E39="",$C39=""),0,IF(AND(22&gt;=$C39,OR($D39="",22&lt;=$D39)),$E39/12*(1+Assumptions!$B$26),0))</f>
      </c>
      <c r="AB39" s="12">
        <f>IF(OR($A39="",$E39="",$C39=""),0,IF(AND(23&gt;=$C39,OR($D39="",23&lt;=$D39)),$E39/12*(1+Assumptions!$B$26),0))</f>
      </c>
      <c r="AC39" s="12">
        <f>IF(OR($A39="",$E39="",$C39=""),0,IF(AND(24&gt;=$C39,OR($D39="",24&lt;=$D39)),$E39/12*(1+Assumptions!$B$26),0))</f>
      </c>
    </row>
    <row r="40" spans="1:29" x14ac:dyDescent="0.25">
      <c r="A40" s="9"/>
      <c r="B40" s="9"/>
      <c r="C40" s="9"/>
      <c r="D40" s="9"/>
      <c r="E40" s="7"/>
      <c r="F40" s="12">
        <f>IF(OR($A40="",$E40="",$C40=""),0,IF(AND(1&gt;=$C40,OR($D40="",1&lt;=$D40)),$E40/12*(1+Assumptions!$B$26),0))</f>
      </c>
      <c r="G40" s="12">
        <f>IF(OR($A40="",$E40="",$C40=""),0,IF(AND(2&gt;=$C40,OR($D40="",2&lt;=$D40)),$E40/12*(1+Assumptions!$B$26),0))</f>
      </c>
      <c r="H40" s="12">
        <f>IF(OR($A40="",$E40="",$C40=""),0,IF(AND(3&gt;=$C40,OR($D40="",3&lt;=$D40)),$E40/12*(1+Assumptions!$B$26),0))</f>
      </c>
      <c r="I40" s="12">
        <f>IF(OR($A40="",$E40="",$C40=""),0,IF(AND(4&gt;=$C40,OR($D40="",4&lt;=$D40)),$E40/12*(1+Assumptions!$B$26),0))</f>
      </c>
      <c r="J40" s="12">
        <f>IF(OR($A40="",$E40="",$C40=""),0,IF(AND(5&gt;=$C40,OR($D40="",5&lt;=$D40)),$E40/12*(1+Assumptions!$B$26),0))</f>
      </c>
      <c r="K40" s="12">
        <f>IF(OR($A40="",$E40="",$C40=""),0,IF(AND(6&gt;=$C40,OR($D40="",6&lt;=$D40)),$E40/12*(1+Assumptions!$B$26),0))</f>
      </c>
      <c r="L40" s="12">
        <f>IF(OR($A40="",$E40="",$C40=""),0,IF(AND(7&gt;=$C40,OR($D40="",7&lt;=$D40)),$E40/12*(1+Assumptions!$B$26),0))</f>
      </c>
      <c r="M40" s="12">
        <f>IF(OR($A40="",$E40="",$C40=""),0,IF(AND(8&gt;=$C40,OR($D40="",8&lt;=$D40)),$E40/12*(1+Assumptions!$B$26),0))</f>
      </c>
      <c r="N40" s="12">
        <f>IF(OR($A40="",$E40="",$C40=""),0,IF(AND(9&gt;=$C40,OR($D40="",9&lt;=$D40)),$E40/12*(1+Assumptions!$B$26),0))</f>
      </c>
      <c r="O40" s="12">
        <f>IF(OR($A40="",$E40="",$C40=""),0,IF(AND(10&gt;=$C40,OR($D40="",10&lt;=$D40)),$E40/12*(1+Assumptions!$B$26),0))</f>
      </c>
      <c r="P40" s="12">
        <f>IF(OR($A40="",$E40="",$C40=""),0,IF(AND(11&gt;=$C40,OR($D40="",11&lt;=$D40)),$E40/12*(1+Assumptions!$B$26),0))</f>
      </c>
      <c r="Q40" s="12">
        <f>IF(OR($A40="",$E40="",$C40=""),0,IF(AND(12&gt;=$C40,OR($D40="",12&lt;=$D40)),$E40/12*(1+Assumptions!$B$26),0))</f>
      </c>
      <c r="R40" s="12">
        <f>IF(OR($A40="",$E40="",$C40=""),0,IF(AND(13&gt;=$C40,OR($D40="",13&lt;=$D40)),$E40/12*(1+Assumptions!$B$26),0))</f>
      </c>
      <c r="S40" s="12">
        <f>IF(OR($A40="",$E40="",$C40=""),0,IF(AND(14&gt;=$C40,OR($D40="",14&lt;=$D40)),$E40/12*(1+Assumptions!$B$26),0))</f>
      </c>
      <c r="T40" s="12">
        <f>IF(OR($A40="",$E40="",$C40=""),0,IF(AND(15&gt;=$C40,OR($D40="",15&lt;=$D40)),$E40/12*(1+Assumptions!$B$26),0))</f>
      </c>
      <c r="U40" s="12">
        <f>IF(OR($A40="",$E40="",$C40=""),0,IF(AND(16&gt;=$C40,OR($D40="",16&lt;=$D40)),$E40/12*(1+Assumptions!$B$26),0))</f>
      </c>
      <c r="V40" s="12">
        <f>IF(OR($A40="",$E40="",$C40=""),0,IF(AND(17&gt;=$C40,OR($D40="",17&lt;=$D40)),$E40/12*(1+Assumptions!$B$26),0))</f>
      </c>
      <c r="W40" s="12">
        <f>IF(OR($A40="",$E40="",$C40=""),0,IF(AND(18&gt;=$C40,OR($D40="",18&lt;=$D40)),$E40/12*(1+Assumptions!$B$26),0))</f>
      </c>
      <c r="X40" s="12">
        <f>IF(OR($A40="",$E40="",$C40=""),0,IF(AND(19&gt;=$C40,OR($D40="",19&lt;=$D40)),$E40/12*(1+Assumptions!$B$26),0))</f>
      </c>
      <c r="Y40" s="12">
        <f>IF(OR($A40="",$E40="",$C40=""),0,IF(AND(20&gt;=$C40,OR($D40="",20&lt;=$D40)),$E40/12*(1+Assumptions!$B$26),0))</f>
      </c>
      <c r="Z40" s="12">
        <f>IF(OR($A40="",$E40="",$C40=""),0,IF(AND(21&gt;=$C40,OR($D40="",21&lt;=$D40)),$E40/12*(1+Assumptions!$B$26),0))</f>
      </c>
      <c r="AA40" s="12">
        <f>IF(OR($A40="",$E40="",$C40=""),0,IF(AND(22&gt;=$C40,OR($D40="",22&lt;=$D40)),$E40/12*(1+Assumptions!$B$26),0))</f>
      </c>
      <c r="AB40" s="12">
        <f>IF(OR($A40="",$E40="",$C40=""),0,IF(AND(23&gt;=$C40,OR($D40="",23&lt;=$D40)),$E40/12*(1+Assumptions!$B$26),0))</f>
      </c>
      <c r="AC40" s="12">
        <f>IF(OR($A40="",$E40="",$C40=""),0,IF(AND(24&gt;=$C40,OR($D40="",24&lt;=$D40)),$E40/12*(1+Assumptions!$B$26),0))</f>
      </c>
    </row>
    <row r="41" spans="1:29" x14ac:dyDescent="0.25">
      <c r="A41" s="9"/>
      <c r="B41" s="9"/>
      <c r="C41" s="9"/>
      <c r="D41" s="9"/>
      <c r="E41" s="7"/>
      <c r="F41" s="12">
        <f>IF(OR($A41="",$E41="",$C41=""),0,IF(AND(1&gt;=$C41,OR($D41="",1&lt;=$D41)),$E41/12*(1+Assumptions!$B$26),0))</f>
      </c>
      <c r="G41" s="12">
        <f>IF(OR($A41="",$E41="",$C41=""),0,IF(AND(2&gt;=$C41,OR($D41="",2&lt;=$D41)),$E41/12*(1+Assumptions!$B$26),0))</f>
      </c>
      <c r="H41" s="12">
        <f>IF(OR($A41="",$E41="",$C41=""),0,IF(AND(3&gt;=$C41,OR($D41="",3&lt;=$D41)),$E41/12*(1+Assumptions!$B$26),0))</f>
      </c>
      <c r="I41" s="12">
        <f>IF(OR($A41="",$E41="",$C41=""),0,IF(AND(4&gt;=$C41,OR($D41="",4&lt;=$D41)),$E41/12*(1+Assumptions!$B$26),0))</f>
      </c>
      <c r="J41" s="12">
        <f>IF(OR($A41="",$E41="",$C41=""),0,IF(AND(5&gt;=$C41,OR($D41="",5&lt;=$D41)),$E41/12*(1+Assumptions!$B$26),0))</f>
      </c>
      <c r="K41" s="12">
        <f>IF(OR($A41="",$E41="",$C41=""),0,IF(AND(6&gt;=$C41,OR($D41="",6&lt;=$D41)),$E41/12*(1+Assumptions!$B$26),0))</f>
      </c>
      <c r="L41" s="12">
        <f>IF(OR($A41="",$E41="",$C41=""),0,IF(AND(7&gt;=$C41,OR($D41="",7&lt;=$D41)),$E41/12*(1+Assumptions!$B$26),0))</f>
      </c>
      <c r="M41" s="12">
        <f>IF(OR($A41="",$E41="",$C41=""),0,IF(AND(8&gt;=$C41,OR($D41="",8&lt;=$D41)),$E41/12*(1+Assumptions!$B$26),0))</f>
      </c>
      <c r="N41" s="12">
        <f>IF(OR($A41="",$E41="",$C41=""),0,IF(AND(9&gt;=$C41,OR($D41="",9&lt;=$D41)),$E41/12*(1+Assumptions!$B$26),0))</f>
      </c>
      <c r="O41" s="12">
        <f>IF(OR($A41="",$E41="",$C41=""),0,IF(AND(10&gt;=$C41,OR($D41="",10&lt;=$D41)),$E41/12*(1+Assumptions!$B$26),0))</f>
      </c>
      <c r="P41" s="12">
        <f>IF(OR($A41="",$E41="",$C41=""),0,IF(AND(11&gt;=$C41,OR($D41="",11&lt;=$D41)),$E41/12*(1+Assumptions!$B$26),0))</f>
      </c>
      <c r="Q41" s="12">
        <f>IF(OR($A41="",$E41="",$C41=""),0,IF(AND(12&gt;=$C41,OR($D41="",12&lt;=$D41)),$E41/12*(1+Assumptions!$B$26),0))</f>
      </c>
      <c r="R41" s="12">
        <f>IF(OR($A41="",$E41="",$C41=""),0,IF(AND(13&gt;=$C41,OR($D41="",13&lt;=$D41)),$E41/12*(1+Assumptions!$B$26),0))</f>
      </c>
      <c r="S41" s="12">
        <f>IF(OR($A41="",$E41="",$C41=""),0,IF(AND(14&gt;=$C41,OR($D41="",14&lt;=$D41)),$E41/12*(1+Assumptions!$B$26),0))</f>
      </c>
      <c r="T41" s="12">
        <f>IF(OR($A41="",$E41="",$C41=""),0,IF(AND(15&gt;=$C41,OR($D41="",15&lt;=$D41)),$E41/12*(1+Assumptions!$B$26),0))</f>
      </c>
      <c r="U41" s="12">
        <f>IF(OR($A41="",$E41="",$C41=""),0,IF(AND(16&gt;=$C41,OR($D41="",16&lt;=$D41)),$E41/12*(1+Assumptions!$B$26),0))</f>
      </c>
      <c r="V41" s="12">
        <f>IF(OR($A41="",$E41="",$C41=""),0,IF(AND(17&gt;=$C41,OR($D41="",17&lt;=$D41)),$E41/12*(1+Assumptions!$B$26),0))</f>
      </c>
      <c r="W41" s="12">
        <f>IF(OR($A41="",$E41="",$C41=""),0,IF(AND(18&gt;=$C41,OR($D41="",18&lt;=$D41)),$E41/12*(1+Assumptions!$B$26),0))</f>
      </c>
      <c r="X41" s="12">
        <f>IF(OR($A41="",$E41="",$C41=""),0,IF(AND(19&gt;=$C41,OR($D41="",19&lt;=$D41)),$E41/12*(1+Assumptions!$B$26),0))</f>
      </c>
      <c r="Y41" s="12">
        <f>IF(OR($A41="",$E41="",$C41=""),0,IF(AND(20&gt;=$C41,OR($D41="",20&lt;=$D41)),$E41/12*(1+Assumptions!$B$26),0))</f>
      </c>
      <c r="Z41" s="12">
        <f>IF(OR($A41="",$E41="",$C41=""),0,IF(AND(21&gt;=$C41,OR($D41="",21&lt;=$D41)),$E41/12*(1+Assumptions!$B$26),0))</f>
      </c>
      <c r="AA41" s="12">
        <f>IF(OR($A41="",$E41="",$C41=""),0,IF(AND(22&gt;=$C41,OR($D41="",22&lt;=$D41)),$E41/12*(1+Assumptions!$B$26),0))</f>
      </c>
      <c r="AB41" s="12">
        <f>IF(OR($A41="",$E41="",$C41=""),0,IF(AND(23&gt;=$C41,OR($D41="",23&lt;=$D41)),$E41/12*(1+Assumptions!$B$26),0))</f>
      </c>
      <c r="AC41" s="12">
        <f>IF(OR($A41="",$E41="",$C41=""),0,IF(AND(24&gt;=$C41,OR($D41="",24&lt;=$D41)),$E41/12*(1+Assumptions!$B$26),0))</f>
      </c>
    </row>
    <row r="42" spans="1:29" x14ac:dyDescent="0.25">
      <c r="A42" s="9"/>
      <c r="B42" s="9"/>
      <c r="C42" s="9"/>
      <c r="D42" s="9"/>
      <c r="E42" s="7"/>
      <c r="F42" s="12">
        <f>IF(OR($A42="",$E42="",$C42=""),0,IF(AND(1&gt;=$C42,OR($D42="",1&lt;=$D42)),$E42/12*(1+Assumptions!$B$26),0))</f>
      </c>
      <c r="G42" s="12">
        <f>IF(OR($A42="",$E42="",$C42=""),0,IF(AND(2&gt;=$C42,OR($D42="",2&lt;=$D42)),$E42/12*(1+Assumptions!$B$26),0))</f>
      </c>
      <c r="H42" s="12">
        <f>IF(OR($A42="",$E42="",$C42=""),0,IF(AND(3&gt;=$C42,OR($D42="",3&lt;=$D42)),$E42/12*(1+Assumptions!$B$26),0))</f>
      </c>
      <c r="I42" s="12">
        <f>IF(OR($A42="",$E42="",$C42=""),0,IF(AND(4&gt;=$C42,OR($D42="",4&lt;=$D42)),$E42/12*(1+Assumptions!$B$26),0))</f>
      </c>
      <c r="J42" s="12">
        <f>IF(OR($A42="",$E42="",$C42=""),0,IF(AND(5&gt;=$C42,OR($D42="",5&lt;=$D42)),$E42/12*(1+Assumptions!$B$26),0))</f>
      </c>
      <c r="K42" s="12">
        <f>IF(OR($A42="",$E42="",$C42=""),0,IF(AND(6&gt;=$C42,OR($D42="",6&lt;=$D42)),$E42/12*(1+Assumptions!$B$26),0))</f>
      </c>
      <c r="L42" s="12">
        <f>IF(OR($A42="",$E42="",$C42=""),0,IF(AND(7&gt;=$C42,OR($D42="",7&lt;=$D42)),$E42/12*(1+Assumptions!$B$26),0))</f>
      </c>
      <c r="M42" s="12">
        <f>IF(OR($A42="",$E42="",$C42=""),0,IF(AND(8&gt;=$C42,OR($D42="",8&lt;=$D42)),$E42/12*(1+Assumptions!$B$26),0))</f>
      </c>
      <c r="N42" s="12">
        <f>IF(OR($A42="",$E42="",$C42=""),0,IF(AND(9&gt;=$C42,OR($D42="",9&lt;=$D42)),$E42/12*(1+Assumptions!$B$26),0))</f>
      </c>
      <c r="O42" s="12">
        <f>IF(OR($A42="",$E42="",$C42=""),0,IF(AND(10&gt;=$C42,OR($D42="",10&lt;=$D42)),$E42/12*(1+Assumptions!$B$26),0))</f>
      </c>
      <c r="P42" s="12">
        <f>IF(OR($A42="",$E42="",$C42=""),0,IF(AND(11&gt;=$C42,OR($D42="",11&lt;=$D42)),$E42/12*(1+Assumptions!$B$26),0))</f>
      </c>
      <c r="Q42" s="12">
        <f>IF(OR($A42="",$E42="",$C42=""),0,IF(AND(12&gt;=$C42,OR($D42="",12&lt;=$D42)),$E42/12*(1+Assumptions!$B$26),0))</f>
      </c>
      <c r="R42" s="12">
        <f>IF(OR($A42="",$E42="",$C42=""),0,IF(AND(13&gt;=$C42,OR($D42="",13&lt;=$D42)),$E42/12*(1+Assumptions!$B$26),0))</f>
      </c>
      <c r="S42" s="12">
        <f>IF(OR($A42="",$E42="",$C42=""),0,IF(AND(14&gt;=$C42,OR($D42="",14&lt;=$D42)),$E42/12*(1+Assumptions!$B$26),0))</f>
      </c>
      <c r="T42" s="12">
        <f>IF(OR($A42="",$E42="",$C42=""),0,IF(AND(15&gt;=$C42,OR($D42="",15&lt;=$D42)),$E42/12*(1+Assumptions!$B$26),0))</f>
      </c>
      <c r="U42" s="12">
        <f>IF(OR($A42="",$E42="",$C42=""),0,IF(AND(16&gt;=$C42,OR($D42="",16&lt;=$D42)),$E42/12*(1+Assumptions!$B$26),0))</f>
      </c>
      <c r="V42" s="12">
        <f>IF(OR($A42="",$E42="",$C42=""),0,IF(AND(17&gt;=$C42,OR($D42="",17&lt;=$D42)),$E42/12*(1+Assumptions!$B$26),0))</f>
      </c>
      <c r="W42" s="12">
        <f>IF(OR($A42="",$E42="",$C42=""),0,IF(AND(18&gt;=$C42,OR($D42="",18&lt;=$D42)),$E42/12*(1+Assumptions!$B$26),0))</f>
      </c>
      <c r="X42" s="12">
        <f>IF(OR($A42="",$E42="",$C42=""),0,IF(AND(19&gt;=$C42,OR($D42="",19&lt;=$D42)),$E42/12*(1+Assumptions!$B$26),0))</f>
      </c>
      <c r="Y42" s="12">
        <f>IF(OR($A42="",$E42="",$C42=""),0,IF(AND(20&gt;=$C42,OR($D42="",20&lt;=$D42)),$E42/12*(1+Assumptions!$B$26),0))</f>
      </c>
      <c r="Z42" s="12">
        <f>IF(OR($A42="",$E42="",$C42=""),0,IF(AND(21&gt;=$C42,OR($D42="",21&lt;=$D42)),$E42/12*(1+Assumptions!$B$26),0))</f>
      </c>
      <c r="AA42" s="12">
        <f>IF(OR($A42="",$E42="",$C42=""),0,IF(AND(22&gt;=$C42,OR($D42="",22&lt;=$D42)),$E42/12*(1+Assumptions!$B$26),0))</f>
      </c>
      <c r="AB42" s="12">
        <f>IF(OR($A42="",$E42="",$C42=""),0,IF(AND(23&gt;=$C42,OR($D42="",23&lt;=$D42)),$E42/12*(1+Assumptions!$B$26),0))</f>
      </c>
      <c r="AC42" s="12">
        <f>IF(OR($A42="",$E42="",$C42=""),0,IF(AND(24&gt;=$C42,OR($D42="",24&lt;=$D42)),$E42/12*(1+Assumptions!$B$26),0))</f>
      </c>
    </row>
    <row r="43" spans="1:29" x14ac:dyDescent="0.25">
      <c r="A43" s="9"/>
      <c r="B43" s="9"/>
      <c r="C43" s="9"/>
      <c r="D43" s="9"/>
      <c r="E43" s="7"/>
      <c r="F43" s="12">
        <f>IF(OR($A43="",$E43="",$C43=""),0,IF(AND(1&gt;=$C43,OR($D43="",1&lt;=$D43)),$E43/12*(1+Assumptions!$B$26),0))</f>
      </c>
      <c r="G43" s="12">
        <f>IF(OR($A43="",$E43="",$C43=""),0,IF(AND(2&gt;=$C43,OR($D43="",2&lt;=$D43)),$E43/12*(1+Assumptions!$B$26),0))</f>
      </c>
      <c r="H43" s="12">
        <f>IF(OR($A43="",$E43="",$C43=""),0,IF(AND(3&gt;=$C43,OR($D43="",3&lt;=$D43)),$E43/12*(1+Assumptions!$B$26),0))</f>
      </c>
      <c r="I43" s="12">
        <f>IF(OR($A43="",$E43="",$C43=""),0,IF(AND(4&gt;=$C43,OR($D43="",4&lt;=$D43)),$E43/12*(1+Assumptions!$B$26),0))</f>
      </c>
      <c r="J43" s="12">
        <f>IF(OR($A43="",$E43="",$C43=""),0,IF(AND(5&gt;=$C43,OR($D43="",5&lt;=$D43)),$E43/12*(1+Assumptions!$B$26),0))</f>
      </c>
      <c r="K43" s="12">
        <f>IF(OR($A43="",$E43="",$C43=""),0,IF(AND(6&gt;=$C43,OR($D43="",6&lt;=$D43)),$E43/12*(1+Assumptions!$B$26),0))</f>
      </c>
      <c r="L43" s="12">
        <f>IF(OR($A43="",$E43="",$C43=""),0,IF(AND(7&gt;=$C43,OR($D43="",7&lt;=$D43)),$E43/12*(1+Assumptions!$B$26),0))</f>
      </c>
      <c r="M43" s="12">
        <f>IF(OR($A43="",$E43="",$C43=""),0,IF(AND(8&gt;=$C43,OR($D43="",8&lt;=$D43)),$E43/12*(1+Assumptions!$B$26),0))</f>
      </c>
      <c r="N43" s="12">
        <f>IF(OR($A43="",$E43="",$C43=""),0,IF(AND(9&gt;=$C43,OR($D43="",9&lt;=$D43)),$E43/12*(1+Assumptions!$B$26),0))</f>
      </c>
      <c r="O43" s="12">
        <f>IF(OR($A43="",$E43="",$C43=""),0,IF(AND(10&gt;=$C43,OR($D43="",10&lt;=$D43)),$E43/12*(1+Assumptions!$B$26),0))</f>
      </c>
      <c r="P43" s="12">
        <f>IF(OR($A43="",$E43="",$C43=""),0,IF(AND(11&gt;=$C43,OR($D43="",11&lt;=$D43)),$E43/12*(1+Assumptions!$B$26),0))</f>
      </c>
      <c r="Q43" s="12">
        <f>IF(OR($A43="",$E43="",$C43=""),0,IF(AND(12&gt;=$C43,OR($D43="",12&lt;=$D43)),$E43/12*(1+Assumptions!$B$26),0))</f>
      </c>
      <c r="R43" s="12">
        <f>IF(OR($A43="",$E43="",$C43=""),0,IF(AND(13&gt;=$C43,OR($D43="",13&lt;=$D43)),$E43/12*(1+Assumptions!$B$26),0))</f>
      </c>
      <c r="S43" s="12">
        <f>IF(OR($A43="",$E43="",$C43=""),0,IF(AND(14&gt;=$C43,OR($D43="",14&lt;=$D43)),$E43/12*(1+Assumptions!$B$26),0))</f>
      </c>
      <c r="T43" s="12">
        <f>IF(OR($A43="",$E43="",$C43=""),0,IF(AND(15&gt;=$C43,OR($D43="",15&lt;=$D43)),$E43/12*(1+Assumptions!$B$26),0))</f>
      </c>
      <c r="U43" s="12">
        <f>IF(OR($A43="",$E43="",$C43=""),0,IF(AND(16&gt;=$C43,OR($D43="",16&lt;=$D43)),$E43/12*(1+Assumptions!$B$26),0))</f>
      </c>
      <c r="V43" s="12">
        <f>IF(OR($A43="",$E43="",$C43=""),0,IF(AND(17&gt;=$C43,OR($D43="",17&lt;=$D43)),$E43/12*(1+Assumptions!$B$26),0))</f>
      </c>
      <c r="W43" s="12">
        <f>IF(OR($A43="",$E43="",$C43=""),0,IF(AND(18&gt;=$C43,OR($D43="",18&lt;=$D43)),$E43/12*(1+Assumptions!$B$26),0))</f>
      </c>
      <c r="X43" s="12">
        <f>IF(OR($A43="",$E43="",$C43=""),0,IF(AND(19&gt;=$C43,OR($D43="",19&lt;=$D43)),$E43/12*(1+Assumptions!$B$26),0))</f>
      </c>
      <c r="Y43" s="12">
        <f>IF(OR($A43="",$E43="",$C43=""),0,IF(AND(20&gt;=$C43,OR($D43="",20&lt;=$D43)),$E43/12*(1+Assumptions!$B$26),0))</f>
      </c>
      <c r="Z43" s="12">
        <f>IF(OR($A43="",$E43="",$C43=""),0,IF(AND(21&gt;=$C43,OR($D43="",21&lt;=$D43)),$E43/12*(1+Assumptions!$B$26),0))</f>
      </c>
      <c r="AA43" s="12">
        <f>IF(OR($A43="",$E43="",$C43=""),0,IF(AND(22&gt;=$C43,OR($D43="",22&lt;=$D43)),$E43/12*(1+Assumptions!$B$26),0))</f>
      </c>
      <c r="AB43" s="12">
        <f>IF(OR($A43="",$E43="",$C43=""),0,IF(AND(23&gt;=$C43,OR($D43="",23&lt;=$D43)),$E43/12*(1+Assumptions!$B$26),0))</f>
      </c>
      <c r="AC43" s="12">
        <f>IF(OR($A43="",$E43="",$C43=""),0,IF(AND(24&gt;=$C43,OR($D43="",24&lt;=$D43)),$E43/12*(1+Assumptions!$B$26),0))</f>
      </c>
    </row>
    <row r="44" spans="1:29" x14ac:dyDescent="0.25">
      <c r="A44" s="9"/>
      <c r="B44" s="9"/>
      <c r="C44" s="9"/>
      <c r="D44" s="9"/>
      <c r="E44" s="7"/>
      <c r="F44" s="12">
        <f>IF(OR($A44="",$E44="",$C44=""),0,IF(AND(1&gt;=$C44,OR($D44="",1&lt;=$D44)),$E44/12*(1+Assumptions!$B$26),0))</f>
      </c>
      <c r="G44" s="12">
        <f>IF(OR($A44="",$E44="",$C44=""),0,IF(AND(2&gt;=$C44,OR($D44="",2&lt;=$D44)),$E44/12*(1+Assumptions!$B$26),0))</f>
      </c>
      <c r="H44" s="12">
        <f>IF(OR($A44="",$E44="",$C44=""),0,IF(AND(3&gt;=$C44,OR($D44="",3&lt;=$D44)),$E44/12*(1+Assumptions!$B$26),0))</f>
      </c>
      <c r="I44" s="12">
        <f>IF(OR($A44="",$E44="",$C44=""),0,IF(AND(4&gt;=$C44,OR($D44="",4&lt;=$D44)),$E44/12*(1+Assumptions!$B$26),0))</f>
      </c>
      <c r="J44" s="12">
        <f>IF(OR($A44="",$E44="",$C44=""),0,IF(AND(5&gt;=$C44,OR($D44="",5&lt;=$D44)),$E44/12*(1+Assumptions!$B$26),0))</f>
      </c>
      <c r="K44" s="12">
        <f>IF(OR($A44="",$E44="",$C44=""),0,IF(AND(6&gt;=$C44,OR($D44="",6&lt;=$D44)),$E44/12*(1+Assumptions!$B$26),0))</f>
      </c>
      <c r="L44" s="12">
        <f>IF(OR($A44="",$E44="",$C44=""),0,IF(AND(7&gt;=$C44,OR($D44="",7&lt;=$D44)),$E44/12*(1+Assumptions!$B$26),0))</f>
      </c>
      <c r="M44" s="12">
        <f>IF(OR($A44="",$E44="",$C44=""),0,IF(AND(8&gt;=$C44,OR($D44="",8&lt;=$D44)),$E44/12*(1+Assumptions!$B$26),0))</f>
      </c>
      <c r="N44" s="12">
        <f>IF(OR($A44="",$E44="",$C44=""),0,IF(AND(9&gt;=$C44,OR($D44="",9&lt;=$D44)),$E44/12*(1+Assumptions!$B$26),0))</f>
      </c>
      <c r="O44" s="12">
        <f>IF(OR($A44="",$E44="",$C44=""),0,IF(AND(10&gt;=$C44,OR($D44="",10&lt;=$D44)),$E44/12*(1+Assumptions!$B$26),0))</f>
      </c>
      <c r="P44" s="12">
        <f>IF(OR($A44="",$E44="",$C44=""),0,IF(AND(11&gt;=$C44,OR($D44="",11&lt;=$D44)),$E44/12*(1+Assumptions!$B$26),0))</f>
      </c>
      <c r="Q44" s="12">
        <f>IF(OR($A44="",$E44="",$C44=""),0,IF(AND(12&gt;=$C44,OR($D44="",12&lt;=$D44)),$E44/12*(1+Assumptions!$B$26),0))</f>
      </c>
      <c r="R44" s="12">
        <f>IF(OR($A44="",$E44="",$C44=""),0,IF(AND(13&gt;=$C44,OR($D44="",13&lt;=$D44)),$E44/12*(1+Assumptions!$B$26),0))</f>
      </c>
      <c r="S44" s="12">
        <f>IF(OR($A44="",$E44="",$C44=""),0,IF(AND(14&gt;=$C44,OR($D44="",14&lt;=$D44)),$E44/12*(1+Assumptions!$B$26),0))</f>
      </c>
      <c r="T44" s="12">
        <f>IF(OR($A44="",$E44="",$C44=""),0,IF(AND(15&gt;=$C44,OR($D44="",15&lt;=$D44)),$E44/12*(1+Assumptions!$B$26),0))</f>
      </c>
      <c r="U44" s="12">
        <f>IF(OR($A44="",$E44="",$C44=""),0,IF(AND(16&gt;=$C44,OR($D44="",16&lt;=$D44)),$E44/12*(1+Assumptions!$B$26),0))</f>
      </c>
      <c r="V44" s="12">
        <f>IF(OR($A44="",$E44="",$C44=""),0,IF(AND(17&gt;=$C44,OR($D44="",17&lt;=$D44)),$E44/12*(1+Assumptions!$B$26),0))</f>
      </c>
      <c r="W44" s="12">
        <f>IF(OR($A44="",$E44="",$C44=""),0,IF(AND(18&gt;=$C44,OR($D44="",18&lt;=$D44)),$E44/12*(1+Assumptions!$B$26),0))</f>
      </c>
      <c r="X44" s="12">
        <f>IF(OR($A44="",$E44="",$C44=""),0,IF(AND(19&gt;=$C44,OR($D44="",19&lt;=$D44)),$E44/12*(1+Assumptions!$B$26),0))</f>
      </c>
      <c r="Y44" s="12">
        <f>IF(OR($A44="",$E44="",$C44=""),0,IF(AND(20&gt;=$C44,OR($D44="",20&lt;=$D44)),$E44/12*(1+Assumptions!$B$26),0))</f>
      </c>
      <c r="Z44" s="12">
        <f>IF(OR($A44="",$E44="",$C44=""),0,IF(AND(21&gt;=$C44,OR($D44="",21&lt;=$D44)),$E44/12*(1+Assumptions!$B$26),0))</f>
      </c>
      <c r="AA44" s="12">
        <f>IF(OR($A44="",$E44="",$C44=""),0,IF(AND(22&gt;=$C44,OR($D44="",22&lt;=$D44)),$E44/12*(1+Assumptions!$B$26),0))</f>
      </c>
      <c r="AB44" s="12">
        <f>IF(OR($A44="",$E44="",$C44=""),0,IF(AND(23&gt;=$C44,OR($D44="",23&lt;=$D44)),$E44/12*(1+Assumptions!$B$26),0))</f>
      </c>
      <c r="AC44" s="12">
        <f>IF(OR($A44="",$E44="",$C44=""),0,IF(AND(24&gt;=$C44,OR($D44="",24&lt;=$D44)),$E44/12*(1+Assumptions!$B$26),0))</f>
      </c>
    </row>
    <row r="46" spans="1:29" x14ac:dyDescent="0.25">
      <c r="A46" s="13" t="s">
        <v>104</v>
      </c>
      <c r="F46" s="14">
        <f>SUM(F5:F44)</f>
      </c>
      <c r="G46" s="14">
        <f>SUM(G5:G44)</f>
      </c>
      <c r="H46" s="14">
        <f>SUM(H5:H44)</f>
      </c>
      <c r="I46" s="14">
        <f>SUM(I5:I44)</f>
      </c>
      <c r="J46" s="14">
        <f>SUM(J5:J44)</f>
      </c>
      <c r="K46" s="14">
        <f>SUM(K5:K44)</f>
      </c>
      <c r="L46" s="14">
        <f>SUM(L5:L44)</f>
      </c>
      <c r="M46" s="14">
        <f>SUM(M5:M44)</f>
      </c>
      <c r="N46" s="14">
        <f>SUM(N5:N44)</f>
      </c>
      <c r="O46" s="14">
        <f>SUM(O5:O44)</f>
      </c>
      <c r="P46" s="14">
        <f>SUM(P5:P44)</f>
      </c>
      <c r="Q46" s="14">
        <f>SUM(Q5:Q44)</f>
      </c>
      <c r="R46" s="14">
        <f>SUM(R5:R44)</f>
      </c>
      <c r="S46" s="14">
        <f>SUM(S5:S44)</f>
      </c>
      <c r="T46" s="14">
        <f>SUM(T5:T44)</f>
      </c>
      <c r="U46" s="14">
        <f>SUM(U5:U44)</f>
      </c>
      <c r="V46" s="14">
        <f>SUM(V5:V44)</f>
      </c>
      <c r="W46" s="14">
        <f>SUM(W5:W44)</f>
      </c>
      <c r="X46" s="14">
        <f>SUM(X5:X44)</f>
      </c>
      <c r="Y46" s="14">
        <f>SUM(Y5:Y44)</f>
      </c>
      <c r="Z46" s="14">
        <f>SUM(Z5:Z44)</f>
      </c>
      <c r="AA46" s="14">
        <f>SUM(AA5:AA44)</f>
      </c>
      <c r="AB46" s="14">
        <f>SUM(AB5:AB44)</f>
      </c>
      <c r="AC46" s="14">
        <f>SUM(AC5:AC44)</f>
      </c>
    </row>
    <row r="47" spans="1:29" x14ac:dyDescent="0.25">
      <c r="A47" s="13" t="s">
        <v>105</v>
      </c>
      <c r="F47" s="13">
        <f>SUMPRODUCT(($A$5:$A$44&lt;&gt;"")*($C$5:$C$44&lt;&gt;"")*($C$5:$C$44&lt;=1)*((($D$5:$D$44="")+($D$5:$D$44&gt;=1))&gt;0))</f>
      </c>
      <c r="G47" s="13">
        <f>SUMPRODUCT(($A$5:$A$44&lt;&gt;"")*($C$5:$C$44&lt;&gt;"")*($C$5:$C$44&lt;=2)*((($D$5:$D$44="")+($D$5:$D$44&gt;=2))&gt;0))</f>
      </c>
      <c r="H47" s="13">
        <f>SUMPRODUCT(($A$5:$A$44&lt;&gt;"")*($C$5:$C$44&lt;&gt;"")*($C$5:$C$44&lt;=3)*((($D$5:$D$44="")+($D$5:$D$44&gt;=3))&gt;0))</f>
      </c>
      <c r="I47" s="13">
        <f>SUMPRODUCT(($A$5:$A$44&lt;&gt;"")*($C$5:$C$44&lt;&gt;"")*($C$5:$C$44&lt;=4)*((($D$5:$D$44="")+($D$5:$D$44&gt;=4))&gt;0))</f>
      </c>
      <c r="J47" s="13">
        <f>SUMPRODUCT(($A$5:$A$44&lt;&gt;"")*($C$5:$C$44&lt;&gt;"")*($C$5:$C$44&lt;=5)*((($D$5:$D$44="")+($D$5:$D$44&gt;=5))&gt;0))</f>
      </c>
      <c r="K47" s="13">
        <f>SUMPRODUCT(($A$5:$A$44&lt;&gt;"")*($C$5:$C$44&lt;&gt;"")*($C$5:$C$44&lt;=6)*((($D$5:$D$44="")+($D$5:$D$44&gt;=6))&gt;0))</f>
      </c>
      <c r="L47" s="13">
        <f>SUMPRODUCT(($A$5:$A$44&lt;&gt;"")*($C$5:$C$44&lt;&gt;"")*($C$5:$C$44&lt;=7)*((($D$5:$D$44="")+($D$5:$D$44&gt;=7))&gt;0))</f>
      </c>
      <c r="M47" s="13">
        <f>SUMPRODUCT(($A$5:$A$44&lt;&gt;"")*($C$5:$C$44&lt;&gt;"")*($C$5:$C$44&lt;=8)*((($D$5:$D$44="")+($D$5:$D$44&gt;=8))&gt;0))</f>
      </c>
      <c r="N47" s="13">
        <f>SUMPRODUCT(($A$5:$A$44&lt;&gt;"")*($C$5:$C$44&lt;&gt;"")*($C$5:$C$44&lt;=9)*((($D$5:$D$44="")+($D$5:$D$44&gt;=9))&gt;0))</f>
      </c>
      <c r="O47" s="13">
        <f>SUMPRODUCT(($A$5:$A$44&lt;&gt;"")*($C$5:$C$44&lt;&gt;"")*($C$5:$C$44&lt;=10)*((($D$5:$D$44="")+($D$5:$D$44&gt;=10))&gt;0))</f>
      </c>
      <c r="P47" s="13">
        <f>SUMPRODUCT(($A$5:$A$44&lt;&gt;"")*($C$5:$C$44&lt;&gt;"")*($C$5:$C$44&lt;=11)*((($D$5:$D$44="")+($D$5:$D$44&gt;=11))&gt;0))</f>
      </c>
      <c r="Q47" s="13">
        <f>SUMPRODUCT(($A$5:$A$44&lt;&gt;"")*($C$5:$C$44&lt;&gt;"")*($C$5:$C$44&lt;=12)*((($D$5:$D$44="")+($D$5:$D$44&gt;=12))&gt;0))</f>
      </c>
      <c r="R47" s="13">
        <f>SUMPRODUCT(($A$5:$A$44&lt;&gt;"")*($C$5:$C$44&lt;&gt;"")*($C$5:$C$44&lt;=13)*((($D$5:$D$44="")+($D$5:$D$44&gt;=13))&gt;0))</f>
      </c>
      <c r="S47" s="13">
        <f>SUMPRODUCT(($A$5:$A$44&lt;&gt;"")*($C$5:$C$44&lt;&gt;"")*($C$5:$C$44&lt;=14)*((($D$5:$D$44="")+($D$5:$D$44&gt;=14))&gt;0))</f>
      </c>
      <c r="T47" s="13">
        <f>SUMPRODUCT(($A$5:$A$44&lt;&gt;"")*($C$5:$C$44&lt;&gt;"")*($C$5:$C$44&lt;=15)*((($D$5:$D$44="")+($D$5:$D$44&gt;=15))&gt;0))</f>
      </c>
      <c r="U47" s="13">
        <f>SUMPRODUCT(($A$5:$A$44&lt;&gt;"")*($C$5:$C$44&lt;&gt;"")*($C$5:$C$44&lt;=16)*((($D$5:$D$44="")+($D$5:$D$44&gt;=16))&gt;0))</f>
      </c>
      <c r="V47" s="13">
        <f>SUMPRODUCT(($A$5:$A$44&lt;&gt;"")*($C$5:$C$44&lt;&gt;"")*($C$5:$C$44&lt;=17)*((($D$5:$D$44="")+($D$5:$D$44&gt;=17))&gt;0))</f>
      </c>
      <c r="W47" s="13">
        <f>SUMPRODUCT(($A$5:$A$44&lt;&gt;"")*($C$5:$C$44&lt;&gt;"")*($C$5:$C$44&lt;=18)*((($D$5:$D$44="")+($D$5:$D$44&gt;=18))&gt;0))</f>
      </c>
      <c r="X47" s="13">
        <f>SUMPRODUCT(($A$5:$A$44&lt;&gt;"")*($C$5:$C$44&lt;&gt;"")*($C$5:$C$44&lt;=19)*((($D$5:$D$44="")+($D$5:$D$44&gt;=19))&gt;0))</f>
      </c>
      <c r="Y47" s="13">
        <f>SUMPRODUCT(($A$5:$A$44&lt;&gt;"")*($C$5:$C$44&lt;&gt;"")*($C$5:$C$44&lt;=20)*((($D$5:$D$44="")+($D$5:$D$44&gt;=20))&gt;0))</f>
      </c>
      <c r="Z47" s="13">
        <f>SUMPRODUCT(($A$5:$A$44&lt;&gt;"")*($C$5:$C$44&lt;&gt;"")*($C$5:$C$44&lt;=21)*((($D$5:$D$44="")+($D$5:$D$44&gt;=21))&gt;0))</f>
      </c>
      <c r="AA47" s="13">
        <f>SUMPRODUCT(($A$5:$A$44&lt;&gt;"")*($C$5:$C$44&lt;&gt;"")*($C$5:$C$44&lt;=22)*((($D$5:$D$44="")+($D$5:$D$44&gt;=22))&gt;0))</f>
      </c>
      <c r="AB47" s="13">
        <f>SUMPRODUCT(($A$5:$A$44&lt;&gt;"")*($C$5:$C$44&lt;&gt;"")*($C$5:$C$44&lt;=23)*((($D$5:$D$44="")+($D$5:$D$44&gt;=23))&gt;0))</f>
      </c>
      <c r="AC47" s="13">
        <f>SUMPRODUCT(($A$5:$A$44&lt;&gt;"")*($C$5:$C$44&lt;&gt;"")*($C$5:$C$44&lt;=24)*((($D$5:$D$44="")+($D$5:$D$44&gt;=24))&gt;0))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Z21"/>
  <sheetViews>
    <sheetView workbookViewId="0" showGridLines="0"/>
  </sheetViews>
  <sheetFormatPr defaultRowHeight="15" outlineLevelRow="0" outlineLevelCol="0" x14ac:dyDescent="55"/>
  <cols>
    <col min="1" max="1" width="32" customWidth="1"/>
    <col min="2" max="2" width="14" customWidth="1"/>
    <col min="3" max="26" width="11" customWidth="1"/>
  </cols>
  <sheetData>
    <row r="1" spans="1:1" x14ac:dyDescent="0.25">
      <c r="A1" s="1" t="s">
        <v>106</v>
      </c>
    </row>
    <row r="2" spans="1:1" x14ac:dyDescent="0.25">
      <c r="A2" s="2" t="s">
        <v>107</v>
      </c>
    </row>
    <row r="4" ht="22" customHeight="1" spans="1:26" x14ac:dyDescent="0.25">
      <c r="A4" s="11" t="s">
        <v>108</v>
      </c>
      <c r="B4" s="11" t="s">
        <v>109</v>
      </c>
      <c r="C4" s="11" t="s">
        <v>61</v>
      </c>
      <c r="D4" s="11" t="s">
        <v>62</v>
      </c>
      <c r="E4" s="11" t="s">
        <v>63</v>
      </c>
      <c r="F4" s="11" t="s">
        <v>64</v>
      </c>
      <c r="G4" s="11" t="s">
        <v>65</v>
      </c>
      <c r="H4" s="11" t="s">
        <v>66</v>
      </c>
      <c r="I4" s="11" t="s">
        <v>67</v>
      </c>
      <c r="J4" s="11" t="s">
        <v>68</v>
      </c>
      <c r="K4" s="11" t="s">
        <v>69</v>
      </c>
      <c r="L4" s="11" t="s">
        <v>70</v>
      </c>
      <c r="M4" s="11" t="s">
        <v>71</v>
      </c>
      <c r="N4" s="11" t="s">
        <v>72</v>
      </c>
      <c r="O4" s="11" t="s">
        <v>73</v>
      </c>
      <c r="P4" s="11" t="s">
        <v>74</v>
      </c>
      <c r="Q4" s="11" t="s">
        <v>75</v>
      </c>
      <c r="R4" s="11" t="s">
        <v>76</v>
      </c>
      <c r="S4" s="11" t="s">
        <v>77</v>
      </c>
      <c r="T4" s="11" t="s">
        <v>78</v>
      </c>
      <c r="U4" s="11" t="s">
        <v>79</v>
      </c>
      <c r="V4" s="11" t="s">
        <v>80</v>
      </c>
      <c r="W4" s="11" t="s">
        <v>81</v>
      </c>
      <c r="X4" s="11" t="s">
        <v>82</v>
      </c>
      <c r="Y4" s="11" t="s">
        <v>83</v>
      </c>
      <c r="Z4" s="11" t="s">
        <v>84</v>
      </c>
    </row>
    <row r="5" spans="1:26" x14ac:dyDescent="0.25">
      <c r="A5" s="9" t="s">
        <v>110</v>
      </c>
      <c r="B5" s="10">
        <v>0.03</v>
      </c>
      <c r="C5" s="7">
        <v>320000</v>
      </c>
      <c r="D5" s="12">
        <f>IF($A5="",0,C5*(1+IF($B5="",Assumptions!$B$27,$B5)))</f>
      </c>
      <c r="E5" s="12">
        <f>IF($A5="",0,D5*(1+IF($B5="",Assumptions!$B$27,$B5)))</f>
      </c>
      <c r="F5" s="12">
        <f>IF($A5="",0,E5*(1+IF($B5="",Assumptions!$B$27,$B5)))</f>
      </c>
      <c r="G5" s="12">
        <f>IF($A5="",0,F5*(1+IF($B5="",Assumptions!$B$27,$B5)))</f>
      </c>
      <c r="H5" s="12">
        <f>IF($A5="",0,G5*(1+IF($B5="",Assumptions!$B$27,$B5)))</f>
      </c>
      <c r="I5" s="12">
        <f>IF($A5="",0,H5*(1+IF($B5="",Assumptions!$B$27,$B5)))</f>
      </c>
      <c r="J5" s="12">
        <f>IF($A5="",0,I5*(1+IF($B5="",Assumptions!$B$27,$B5)))</f>
      </c>
      <c r="K5" s="12">
        <f>IF($A5="",0,J5*(1+IF($B5="",Assumptions!$B$27,$B5)))</f>
      </c>
      <c r="L5" s="12">
        <f>IF($A5="",0,K5*(1+IF($B5="",Assumptions!$B$27,$B5)))</f>
      </c>
      <c r="M5" s="12">
        <f>IF($A5="",0,L5*(1+IF($B5="",Assumptions!$B$27,$B5)))</f>
      </c>
      <c r="N5" s="12">
        <f>IF($A5="",0,M5*(1+IF($B5="",Assumptions!$B$27,$B5)))</f>
      </c>
      <c r="O5" s="12">
        <f>IF($A5="",0,N5*(1+IF($B5="",Assumptions!$B$27,$B5)))</f>
      </c>
      <c r="P5" s="12">
        <f>IF($A5="",0,O5*(1+IF($B5="",Assumptions!$B$27,$B5)))</f>
      </c>
      <c r="Q5" s="12">
        <f>IF($A5="",0,P5*(1+IF($B5="",Assumptions!$B$27,$B5)))</f>
      </c>
      <c r="R5" s="12">
        <f>IF($A5="",0,Q5*(1+IF($B5="",Assumptions!$B$27,$B5)))</f>
      </c>
      <c r="S5" s="12">
        <f>IF($A5="",0,R5*(1+IF($B5="",Assumptions!$B$27,$B5)))</f>
      </c>
      <c r="T5" s="12">
        <f>IF($A5="",0,S5*(1+IF($B5="",Assumptions!$B$27,$B5)))</f>
      </c>
      <c r="U5" s="12">
        <f>IF($A5="",0,T5*(1+IF($B5="",Assumptions!$B$27,$B5)))</f>
      </c>
      <c r="V5" s="12">
        <f>IF($A5="",0,U5*(1+IF($B5="",Assumptions!$B$27,$B5)))</f>
      </c>
      <c r="W5" s="12">
        <f>IF($A5="",0,V5*(1+IF($B5="",Assumptions!$B$27,$B5)))</f>
      </c>
      <c r="X5" s="12">
        <f>IF($A5="",0,W5*(1+IF($B5="",Assumptions!$B$27,$B5)))</f>
      </c>
      <c r="Y5" s="12">
        <f>IF($A5="",0,X5*(1+IF($B5="",Assumptions!$B$27,$B5)))</f>
      </c>
      <c r="Z5" s="12">
        <f>IF($A5="",0,Y5*(1+IF($B5="",Assumptions!$B$27,$B5)))</f>
      </c>
    </row>
    <row r="6" spans="1:26" x14ac:dyDescent="0.25">
      <c r="A6" s="9" t="s">
        <v>111</v>
      </c>
      <c r="B6" s="10">
        <v>0.02</v>
      </c>
      <c r="C6" s="7">
        <v>160000</v>
      </c>
      <c r="D6" s="12">
        <f>IF($A6="",0,C6*(1+IF($B6="",Assumptions!$B$27,$B6)))</f>
      </c>
      <c r="E6" s="12">
        <f>IF($A6="",0,D6*(1+IF($B6="",Assumptions!$B$27,$B6)))</f>
      </c>
      <c r="F6" s="12">
        <f>IF($A6="",0,E6*(1+IF($B6="",Assumptions!$B$27,$B6)))</f>
      </c>
      <c r="G6" s="12">
        <f>IF($A6="",0,F6*(1+IF($B6="",Assumptions!$B$27,$B6)))</f>
      </c>
      <c r="H6" s="12">
        <f>IF($A6="",0,G6*(1+IF($B6="",Assumptions!$B$27,$B6)))</f>
      </c>
      <c r="I6" s="12">
        <f>IF($A6="",0,H6*(1+IF($B6="",Assumptions!$B$27,$B6)))</f>
      </c>
      <c r="J6" s="12">
        <f>IF($A6="",0,I6*(1+IF($B6="",Assumptions!$B$27,$B6)))</f>
      </c>
      <c r="K6" s="12">
        <f>IF($A6="",0,J6*(1+IF($B6="",Assumptions!$B$27,$B6)))</f>
      </c>
      <c r="L6" s="12">
        <f>IF($A6="",0,K6*(1+IF($B6="",Assumptions!$B$27,$B6)))</f>
      </c>
      <c r="M6" s="12">
        <f>IF($A6="",0,L6*(1+IF($B6="",Assumptions!$B$27,$B6)))</f>
      </c>
      <c r="N6" s="12">
        <f>IF($A6="",0,M6*(1+IF($B6="",Assumptions!$B$27,$B6)))</f>
      </c>
      <c r="O6" s="12">
        <f>IF($A6="",0,N6*(1+IF($B6="",Assumptions!$B$27,$B6)))</f>
      </c>
      <c r="P6" s="12">
        <f>IF($A6="",0,O6*(1+IF($B6="",Assumptions!$B$27,$B6)))</f>
      </c>
      <c r="Q6" s="12">
        <f>IF($A6="",0,P6*(1+IF($B6="",Assumptions!$B$27,$B6)))</f>
      </c>
      <c r="R6" s="12">
        <f>IF($A6="",0,Q6*(1+IF($B6="",Assumptions!$B$27,$B6)))</f>
      </c>
      <c r="S6" s="12">
        <f>IF($A6="",0,R6*(1+IF($B6="",Assumptions!$B$27,$B6)))</f>
      </c>
      <c r="T6" s="12">
        <f>IF($A6="",0,S6*(1+IF($B6="",Assumptions!$B$27,$B6)))</f>
      </c>
      <c r="U6" s="12">
        <f>IF($A6="",0,T6*(1+IF($B6="",Assumptions!$B$27,$B6)))</f>
      </c>
      <c r="V6" s="12">
        <f>IF($A6="",0,U6*(1+IF($B6="",Assumptions!$B$27,$B6)))</f>
      </c>
      <c r="W6" s="12">
        <f>IF($A6="",0,V6*(1+IF($B6="",Assumptions!$B$27,$B6)))</f>
      </c>
      <c r="X6" s="12">
        <f>IF($A6="",0,W6*(1+IF($B6="",Assumptions!$B$27,$B6)))</f>
      </c>
      <c r="Y6" s="12">
        <f>IF($A6="",0,X6*(1+IF($B6="",Assumptions!$B$27,$B6)))</f>
      </c>
      <c r="Z6" s="12">
        <f>IF($A6="",0,Y6*(1+IF($B6="",Assumptions!$B$27,$B6)))</f>
      </c>
    </row>
    <row r="7" spans="1:26" x14ac:dyDescent="0.25">
      <c r="A7" s="9" t="s">
        <v>112</v>
      </c>
      <c r="B7" s="10">
        <v>0.04</v>
      </c>
      <c r="C7" s="7">
        <v>400000</v>
      </c>
      <c r="D7" s="12">
        <f>IF($A7="",0,C7*(1+IF($B7="",Assumptions!$B$27,$B7)))</f>
      </c>
      <c r="E7" s="12">
        <f>IF($A7="",0,D7*(1+IF($B7="",Assumptions!$B$27,$B7)))</f>
      </c>
      <c r="F7" s="12">
        <f>IF($A7="",0,E7*(1+IF($B7="",Assumptions!$B$27,$B7)))</f>
      </c>
      <c r="G7" s="12">
        <f>IF($A7="",0,F7*(1+IF($B7="",Assumptions!$B$27,$B7)))</f>
      </c>
      <c r="H7" s="12">
        <f>IF($A7="",0,G7*(1+IF($B7="",Assumptions!$B$27,$B7)))</f>
      </c>
      <c r="I7" s="12">
        <f>IF($A7="",0,H7*(1+IF($B7="",Assumptions!$B$27,$B7)))</f>
      </c>
      <c r="J7" s="12">
        <f>IF($A7="",0,I7*(1+IF($B7="",Assumptions!$B$27,$B7)))</f>
      </c>
      <c r="K7" s="12">
        <f>IF($A7="",0,J7*(1+IF($B7="",Assumptions!$B$27,$B7)))</f>
      </c>
      <c r="L7" s="12">
        <f>IF($A7="",0,K7*(1+IF($B7="",Assumptions!$B$27,$B7)))</f>
      </c>
      <c r="M7" s="12">
        <f>IF($A7="",0,L7*(1+IF($B7="",Assumptions!$B$27,$B7)))</f>
      </c>
      <c r="N7" s="12">
        <f>IF($A7="",0,M7*(1+IF($B7="",Assumptions!$B$27,$B7)))</f>
      </c>
      <c r="O7" s="12">
        <f>IF($A7="",0,N7*(1+IF($B7="",Assumptions!$B$27,$B7)))</f>
      </c>
      <c r="P7" s="12">
        <f>IF($A7="",0,O7*(1+IF($B7="",Assumptions!$B$27,$B7)))</f>
      </c>
      <c r="Q7" s="12">
        <f>IF($A7="",0,P7*(1+IF($B7="",Assumptions!$B$27,$B7)))</f>
      </c>
      <c r="R7" s="12">
        <f>IF($A7="",0,Q7*(1+IF($B7="",Assumptions!$B$27,$B7)))</f>
      </c>
      <c r="S7" s="12">
        <f>IF($A7="",0,R7*(1+IF($B7="",Assumptions!$B$27,$B7)))</f>
      </c>
      <c r="T7" s="12">
        <f>IF($A7="",0,S7*(1+IF($B7="",Assumptions!$B$27,$B7)))</f>
      </c>
      <c r="U7" s="12">
        <f>IF($A7="",0,T7*(1+IF($B7="",Assumptions!$B$27,$B7)))</f>
      </c>
      <c r="V7" s="12">
        <f>IF($A7="",0,U7*(1+IF($B7="",Assumptions!$B$27,$B7)))</f>
      </c>
      <c r="W7" s="12">
        <f>IF($A7="",0,V7*(1+IF($B7="",Assumptions!$B$27,$B7)))</f>
      </c>
      <c r="X7" s="12">
        <f>IF($A7="",0,W7*(1+IF($B7="",Assumptions!$B$27,$B7)))</f>
      </c>
      <c r="Y7" s="12">
        <f>IF($A7="",0,X7*(1+IF($B7="",Assumptions!$B$27,$B7)))</f>
      </c>
      <c r="Z7" s="12">
        <f>IF($A7="",0,Y7*(1+IF($B7="",Assumptions!$B$27,$B7)))</f>
      </c>
    </row>
    <row r="8" spans="1:26" x14ac:dyDescent="0.25">
      <c r="A8" s="9" t="s">
        <v>113</v>
      </c>
      <c r="B8" s="10">
        <v>0.01</v>
      </c>
      <c r="C8" s="7">
        <v>120000</v>
      </c>
      <c r="D8" s="12">
        <f>IF($A8="",0,C8*(1+IF($B8="",Assumptions!$B$27,$B8)))</f>
      </c>
      <c r="E8" s="12">
        <f>IF($A8="",0,D8*(1+IF($B8="",Assumptions!$B$27,$B8)))</f>
      </c>
      <c r="F8" s="12">
        <f>IF($A8="",0,E8*(1+IF($B8="",Assumptions!$B$27,$B8)))</f>
      </c>
      <c r="G8" s="12">
        <f>IF($A8="",0,F8*(1+IF($B8="",Assumptions!$B$27,$B8)))</f>
      </c>
      <c r="H8" s="12">
        <f>IF($A8="",0,G8*(1+IF($B8="",Assumptions!$B$27,$B8)))</f>
      </c>
      <c r="I8" s="12">
        <f>IF($A8="",0,H8*(1+IF($B8="",Assumptions!$B$27,$B8)))</f>
      </c>
      <c r="J8" s="12">
        <f>IF($A8="",0,I8*(1+IF($B8="",Assumptions!$B$27,$B8)))</f>
      </c>
      <c r="K8" s="12">
        <f>IF($A8="",0,J8*(1+IF($B8="",Assumptions!$B$27,$B8)))</f>
      </c>
      <c r="L8" s="12">
        <f>IF($A8="",0,K8*(1+IF($B8="",Assumptions!$B$27,$B8)))</f>
      </c>
      <c r="M8" s="12">
        <f>IF($A8="",0,L8*(1+IF($B8="",Assumptions!$B$27,$B8)))</f>
      </c>
      <c r="N8" s="12">
        <f>IF($A8="",0,M8*(1+IF($B8="",Assumptions!$B$27,$B8)))</f>
      </c>
      <c r="O8" s="12">
        <f>IF($A8="",0,N8*(1+IF($B8="",Assumptions!$B$27,$B8)))</f>
      </c>
      <c r="P8" s="12">
        <f>IF($A8="",0,O8*(1+IF($B8="",Assumptions!$B$27,$B8)))</f>
      </c>
      <c r="Q8" s="12">
        <f>IF($A8="",0,P8*(1+IF($B8="",Assumptions!$B$27,$B8)))</f>
      </c>
      <c r="R8" s="12">
        <f>IF($A8="",0,Q8*(1+IF($B8="",Assumptions!$B$27,$B8)))</f>
      </c>
      <c r="S8" s="12">
        <f>IF($A8="",0,R8*(1+IF($B8="",Assumptions!$B$27,$B8)))</f>
      </c>
      <c r="T8" s="12">
        <f>IF($A8="",0,S8*(1+IF($B8="",Assumptions!$B$27,$B8)))</f>
      </c>
      <c r="U8" s="12">
        <f>IF($A8="",0,T8*(1+IF($B8="",Assumptions!$B$27,$B8)))</f>
      </c>
      <c r="V8" s="12">
        <f>IF($A8="",0,U8*(1+IF($B8="",Assumptions!$B$27,$B8)))</f>
      </c>
      <c r="W8" s="12">
        <f>IF($A8="",0,V8*(1+IF($B8="",Assumptions!$B$27,$B8)))</f>
      </c>
      <c r="X8" s="12">
        <f>IF($A8="",0,W8*(1+IF($B8="",Assumptions!$B$27,$B8)))</f>
      </c>
      <c r="Y8" s="12">
        <f>IF($A8="",0,X8*(1+IF($B8="",Assumptions!$B$27,$B8)))</f>
      </c>
      <c r="Z8" s="12">
        <f>IF($A8="",0,Y8*(1+IF($B8="",Assumptions!$B$27,$B8)))</f>
      </c>
    </row>
    <row r="9" spans="1:26" x14ac:dyDescent="0.25">
      <c r="A9" s="9" t="s">
        <v>114</v>
      </c>
      <c r="B9" s="10">
        <v>0</v>
      </c>
      <c r="C9" s="7">
        <v>340000</v>
      </c>
      <c r="D9" s="12">
        <f>IF($A9="",0,C9*(1+IF($B9="",Assumptions!$B$27,$B9)))</f>
      </c>
      <c r="E9" s="12">
        <f>IF($A9="",0,D9*(1+IF($B9="",Assumptions!$B$27,$B9)))</f>
      </c>
      <c r="F9" s="12">
        <f>IF($A9="",0,E9*(1+IF($B9="",Assumptions!$B$27,$B9)))</f>
      </c>
      <c r="G9" s="12">
        <f>IF($A9="",0,F9*(1+IF($B9="",Assumptions!$B$27,$B9)))</f>
      </c>
      <c r="H9" s="12">
        <f>IF($A9="",0,G9*(1+IF($B9="",Assumptions!$B$27,$B9)))</f>
      </c>
      <c r="I9" s="12">
        <f>IF($A9="",0,H9*(1+IF($B9="",Assumptions!$B$27,$B9)))</f>
      </c>
      <c r="J9" s="12">
        <f>IF($A9="",0,I9*(1+IF($B9="",Assumptions!$B$27,$B9)))</f>
      </c>
      <c r="K9" s="12">
        <f>IF($A9="",0,J9*(1+IF($B9="",Assumptions!$B$27,$B9)))</f>
      </c>
      <c r="L9" s="12">
        <f>IF($A9="",0,K9*(1+IF($B9="",Assumptions!$B$27,$B9)))</f>
      </c>
      <c r="M9" s="12">
        <f>IF($A9="",0,L9*(1+IF($B9="",Assumptions!$B$27,$B9)))</f>
      </c>
      <c r="N9" s="12">
        <f>IF($A9="",0,M9*(1+IF($B9="",Assumptions!$B$27,$B9)))</f>
      </c>
      <c r="O9" s="12">
        <f>IF($A9="",0,N9*(1+IF($B9="",Assumptions!$B$27,$B9)))</f>
      </c>
      <c r="P9" s="12">
        <f>IF($A9="",0,O9*(1+IF($B9="",Assumptions!$B$27,$B9)))</f>
      </c>
      <c r="Q9" s="12">
        <f>IF($A9="",0,P9*(1+IF($B9="",Assumptions!$B$27,$B9)))</f>
      </c>
      <c r="R9" s="12">
        <f>IF($A9="",0,Q9*(1+IF($B9="",Assumptions!$B$27,$B9)))</f>
      </c>
      <c r="S9" s="12">
        <f>IF($A9="",0,R9*(1+IF($B9="",Assumptions!$B$27,$B9)))</f>
      </c>
      <c r="T9" s="12">
        <f>IF($A9="",0,S9*(1+IF($B9="",Assumptions!$B$27,$B9)))</f>
      </c>
      <c r="U9" s="12">
        <f>IF($A9="",0,T9*(1+IF($B9="",Assumptions!$B$27,$B9)))</f>
      </c>
      <c r="V9" s="12">
        <f>IF($A9="",0,U9*(1+IF($B9="",Assumptions!$B$27,$B9)))</f>
      </c>
      <c r="W9" s="12">
        <f>IF($A9="",0,V9*(1+IF($B9="",Assumptions!$B$27,$B9)))</f>
      </c>
      <c r="X9" s="12">
        <f>IF($A9="",0,W9*(1+IF($B9="",Assumptions!$B$27,$B9)))</f>
      </c>
      <c r="Y9" s="12">
        <f>IF($A9="",0,X9*(1+IF($B9="",Assumptions!$B$27,$B9)))</f>
      </c>
      <c r="Z9" s="12">
        <f>IF($A9="",0,Y9*(1+IF($B9="",Assumptions!$B$27,$B9)))</f>
      </c>
    </row>
    <row r="10" spans="1:26" x14ac:dyDescent="0.25">
      <c r="A10" s="9" t="s">
        <v>115</v>
      </c>
      <c r="B10" s="10">
        <v>0</v>
      </c>
      <c r="C10" s="7">
        <v>100000</v>
      </c>
      <c r="D10" s="12">
        <f>IF($A10="",0,C10*(1+IF($B10="",Assumptions!$B$27,$B10)))</f>
      </c>
      <c r="E10" s="12">
        <f>IF($A10="",0,D10*(1+IF($B10="",Assumptions!$B$27,$B10)))</f>
      </c>
      <c r="F10" s="12">
        <f>IF($A10="",0,E10*(1+IF($B10="",Assumptions!$B$27,$B10)))</f>
      </c>
      <c r="G10" s="12">
        <f>IF($A10="",0,F10*(1+IF($B10="",Assumptions!$B$27,$B10)))</f>
      </c>
      <c r="H10" s="12">
        <f>IF($A10="",0,G10*(1+IF($B10="",Assumptions!$B$27,$B10)))</f>
      </c>
      <c r="I10" s="12">
        <f>IF($A10="",0,H10*(1+IF($B10="",Assumptions!$B$27,$B10)))</f>
      </c>
      <c r="J10" s="12">
        <f>IF($A10="",0,I10*(1+IF($B10="",Assumptions!$B$27,$B10)))</f>
      </c>
      <c r="K10" s="12">
        <f>IF($A10="",0,J10*(1+IF($B10="",Assumptions!$B$27,$B10)))</f>
      </c>
      <c r="L10" s="12">
        <f>IF($A10="",0,K10*(1+IF($B10="",Assumptions!$B$27,$B10)))</f>
      </c>
      <c r="M10" s="12">
        <f>IF($A10="",0,L10*(1+IF($B10="",Assumptions!$B$27,$B10)))</f>
      </c>
      <c r="N10" s="12">
        <f>IF($A10="",0,M10*(1+IF($B10="",Assumptions!$B$27,$B10)))</f>
      </c>
      <c r="O10" s="12">
        <f>IF($A10="",0,N10*(1+IF($B10="",Assumptions!$B$27,$B10)))</f>
      </c>
      <c r="P10" s="12">
        <f>IF($A10="",0,O10*(1+IF($B10="",Assumptions!$B$27,$B10)))</f>
      </c>
      <c r="Q10" s="12">
        <f>IF($A10="",0,P10*(1+IF($B10="",Assumptions!$B$27,$B10)))</f>
      </c>
      <c r="R10" s="12">
        <f>IF($A10="",0,Q10*(1+IF($B10="",Assumptions!$B$27,$B10)))</f>
      </c>
      <c r="S10" s="12">
        <f>IF($A10="",0,R10*(1+IF($B10="",Assumptions!$B$27,$B10)))</f>
      </c>
      <c r="T10" s="12">
        <f>IF($A10="",0,S10*(1+IF($B10="",Assumptions!$B$27,$B10)))</f>
      </c>
      <c r="U10" s="12">
        <f>IF($A10="",0,T10*(1+IF($B10="",Assumptions!$B$27,$B10)))</f>
      </c>
      <c r="V10" s="12">
        <f>IF($A10="",0,U10*(1+IF($B10="",Assumptions!$B$27,$B10)))</f>
      </c>
      <c r="W10" s="12">
        <f>IF($A10="",0,V10*(1+IF($B10="",Assumptions!$B$27,$B10)))</f>
      </c>
      <c r="X10" s="12">
        <f>IF($A10="",0,W10*(1+IF($B10="",Assumptions!$B$27,$B10)))</f>
      </c>
      <c r="Y10" s="12">
        <f>IF($A10="",0,X10*(1+IF($B10="",Assumptions!$B$27,$B10)))</f>
      </c>
      <c r="Z10" s="12">
        <f>IF($A10="",0,Y10*(1+IF($B10="",Assumptions!$B$27,$B10)))</f>
      </c>
    </row>
    <row r="11" spans="1:26" x14ac:dyDescent="0.25">
      <c r="A11" s="9" t="s">
        <v>116</v>
      </c>
      <c r="B11" s="10">
        <v>0</v>
      </c>
      <c r="C11" s="7">
        <v>110000</v>
      </c>
      <c r="D11" s="12">
        <f>IF($A11="",0,C11*(1+IF($B11="",Assumptions!$B$27,$B11)))</f>
      </c>
      <c r="E11" s="12">
        <f>IF($A11="",0,D11*(1+IF($B11="",Assumptions!$B$27,$B11)))</f>
      </c>
      <c r="F11" s="12">
        <f>IF($A11="",0,E11*(1+IF($B11="",Assumptions!$B$27,$B11)))</f>
      </c>
      <c r="G11" s="12">
        <f>IF($A11="",0,F11*(1+IF($B11="",Assumptions!$B$27,$B11)))</f>
      </c>
      <c r="H11" s="12">
        <f>IF($A11="",0,G11*(1+IF($B11="",Assumptions!$B$27,$B11)))</f>
      </c>
      <c r="I11" s="12">
        <f>IF($A11="",0,H11*(1+IF($B11="",Assumptions!$B$27,$B11)))</f>
      </c>
      <c r="J11" s="12">
        <f>IF($A11="",0,I11*(1+IF($B11="",Assumptions!$B$27,$B11)))</f>
      </c>
      <c r="K11" s="12">
        <f>IF($A11="",0,J11*(1+IF($B11="",Assumptions!$B$27,$B11)))</f>
      </c>
      <c r="L11" s="12">
        <f>IF($A11="",0,K11*(1+IF($B11="",Assumptions!$B$27,$B11)))</f>
      </c>
      <c r="M11" s="12">
        <f>IF($A11="",0,L11*(1+IF($B11="",Assumptions!$B$27,$B11)))</f>
      </c>
      <c r="N11" s="12">
        <f>IF($A11="",0,M11*(1+IF($B11="",Assumptions!$B$27,$B11)))</f>
      </c>
      <c r="O11" s="12">
        <f>IF($A11="",0,N11*(1+IF($B11="",Assumptions!$B$27,$B11)))</f>
      </c>
      <c r="P11" s="12">
        <f>IF($A11="",0,O11*(1+IF($B11="",Assumptions!$B$27,$B11)))</f>
      </c>
      <c r="Q11" s="12">
        <f>IF($A11="",0,P11*(1+IF($B11="",Assumptions!$B$27,$B11)))</f>
      </c>
      <c r="R11" s="12">
        <f>IF($A11="",0,Q11*(1+IF($B11="",Assumptions!$B$27,$B11)))</f>
      </c>
      <c r="S11" s="12">
        <f>IF($A11="",0,R11*(1+IF($B11="",Assumptions!$B$27,$B11)))</f>
      </c>
      <c r="T11" s="12">
        <f>IF($A11="",0,S11*(1+IF($B11="",Assumptions!$B$27,$B11)))</f>
      </c>
      <c r="U11" s="12">
        <f>IF($A11="",0,T11*(1+IF($B11="",Assumptions!$B$27,$B11)))</f>
      </c>
      <c r="V11" s="12">
        <f>IF($A11="",0,U11*(1+IF($B11="",Assumptions!$B$27,$B11)))</f>
      </c>
      <c r="W11" s="12">
        <f>IF($A11="",0,V11*(1+IF($B11="",Assumptions!$B$27,$B11)))</f>
      </c>
      <c r="X11" s="12">
        <f>IF($A11="",0,W11*(1+IF($B11="",Assumptions!$B$27,$B11)))</f>
      </c>
      <c r="Y11" s="12">
        <f>IF($A11="",0,X11*(1+IF($B11="",Assumptions!$B$27,$B11)))</f>
      </c>
      <c r="Z11" s="12">
        <f>IF($A11="",0,Y11*(1+IF($B11="",Assumptions!$B$27,$B11)))</f>
      </c>
    </row>
    <row r="12" spans="1:26" x14ac:dyDescent="0.25">
      <c r="A12" s="9" t="s">
        <v>117</v>
      </c>
      <c r="B12" s="10">
        <v>0</v>
      </c>
      <c r="C12" s="7">
        <v>80000</v>
      </c>
      <c r="D12" s="12">
        <f>IF($A12="",0,C12*(1+IF($B12="",Assumptions!$B$27,$B12)))</f>
      </c>
      <c r="E12" s="12">
        <f>IF($A12="",0,D12*(1+IF($B12="",Assumptions!$B$27,$B12)))</f>
      </c>
      <c r="F12" s="12">
        <f>IF($A12="",0,E12*(1+IF($B12="",Assumptions!$B$27,$B12)))</f>
      </c>
      <c r="G12" s="12">
        <f>IF($A12="",0,F12*(1+IF($B12="",Assumptions!$B$27,$B12)))</f>
      </c>
      <c r="H12" s="12">
        <f>IF($A12="",0,G12*(1+IF($B12="",Assumptions!$B$27,$B12)))</f>
      </c>
      <c r="I12" s="12">
        <f>IF($A12="",0,H12*(1+IF($B12="",Assumptions!$B$27,$B12)))</f>
      </c>
      <c r="J12" s="12">
        <f>IF($A12="",0,I12*(1+IF($B12="",Assumptions!$B$27,$B12)))</f>
      </c>
      <c r="K12" s="12">
        <f>IF($A12="",0,J12*(1+IF($B12="",Assumptions!$B$27,$B12)))</f>
      </c>
      <c r="L12" s="12">
        <f>IF($A12="",0,K12*(1+IF($B12="",Assumptions!$B$27,$B12)))</f>
      </c>
      <c r="M12" s="12">
        <f>IF($A12="",0,L12*(1+IF($B12="",Assumptions!$B$27,$B12)))</f>
      </c>
      <c r="N12" s="12">
        <f>IF($A12="",0,M12*(1+IF($B12="",Assumptions!$B$27,$B12)))</f>
      </c>
      <c r="O12" s="12">
        <f>IF($A12="",0,N12*(1+IF($B12="",Assumptions!$B$27,$B12)))</f>
      </c>
      <c r="P12" s="12">
        <f>IF($A12="",0,O12*(1+IF($B12="",Assumptions!$B$27,$B12)))</f>
      </c>
      <c r="Q12" s="12">
        <f>IF($A12="",0,P12*(1+IF($B12="",Assumptions!$B$27,$B12)))</f>
      </c>
      <c r="R12" s="12">
        <f>IF($A12="",0,Q12*(1+IF($B12="",Assumptions!$B$27,$B12)))</f>
      </c>
      <c r="S12" s="12">
        <f>IF($A12="",0,R12*(1+IF($B12="",Assumptions!$B$27,$B12)))</f>
      </c>
      <c r="T12" s="12">
        <f>IF($A12="",0,S12*(1+IF($B12="",Assumptions!$B$27,$B12)))</f>
      </c>
      <c r="U12" s="12">
        <f>IF($A12="",0,T12*(1+IF($B12="",Assumptions!$B$27,$B12)))</f>
      </c>
      <c r="V12" s="12">
        <f>IF($A12="",0,U12*(1+IF($B12="",Assumptions!$B$27,$B12)))</f>
      </c>
      <c r="W12" s="12">
        <f>IF($A12="",0,V12*(1+IF($B12="",Assumptions!$B$27,$B12)))</f>
      </c>
      <c r="X12" s="12">
        <f>IF($A12="",0,W12*(1+IF($B12="",Assumptions!$B$27,$B12)))</f>
      </c>
      <c r="Y12" s="12">
        <f>IF($A12="",0,X12*(1+IF($B12="",Assumptions!$B$27,$B12)))</f>
      </c>
      <c r="Z12" s="12">
        <f>IF($A12="",0,Y12*(1+IF($B12="",Assumptions!$B$27,$B12)))</f>
      </c>
    </row>
    <row r="13" spans="1:26" x14ac:dyDescent="0.25">
      <c r="A13" s="9" t="s">
        <v>118</v>
      </c>
      <c r="B13" s="10">
        <v>0.01</v>
      </c>
      <c r="C13" s="7">
        <v>90000</v>
      </c>
      <c r="D13" s="12">
        <f>IF($A13="",0,C13*(1+IF($B13="",Assumptions!$B$27,$B13)))</f>
      </c>
      <c r="E13" s="12">
        <f>IF($A13="",0,D13*(1+IF($B13="",Assumptions!$B$27,$B13)))</f>
      </c>
      <c r="F13" s="12">
        <f>IF($A13="",0,E13*(1+IF($B13="",Assumptions!$B$27,$B13)))</f>
      </c>
      <c r="G13" s="12">
        <f>IF($A13="",0,F13*(1+IF($B13="",Assumptions!$B$27,$B13)))</f>
      </c>
      <c r="H13" s="12">
        <f>IF($A13="",0,G13*(1+IF($B13="",Assumptions!$B$27,$B13)))</f>
      </c>
      <c r="I13" s="12">
        <f>IF($A13="",0,H13*(1+IF($B13="",Assumptions!$B$27,$B13)))</f>
      </c>
      <c r="J13" s="12">
        <f>IF($A13="",0,I13*(1+IF($B13="",Assumptions!$B$27,$B13)))</f>
      </c>
      <c r="K13" s="12">
        <f>IF($A13="",0,J13*(1+IF($B13="",Assumptions!$B$27,$B13)))</f>
      </c>
      <c r="L13" s="12">
        <f>IF($A13="",0,K13*(1+IF($B13="",Assumptions!$B$27,$B13)))</f>
      </c>
      <c r="M13" s="12">
        <f>IF($A13="",0,L13*(1+IF($B13="",Assumptions!$B$27,$B13)))</f>
      </c>
      <c r="N13" s="12">
        <f>IF($A13="",0,M13*(1+IF($B13="",Assumptions!$B$27,$B13)))</f>
      </c>
      <c r="O13" s="12">
        <f>IF($A13="",0,N13*(1+IF($B13="",Assumptions!$B$27,$B13)))</f>
      </c>
      <c r="P13" s="12">
        <f>IF($A13="",0,O13*(1+IF($B13="",Assumptions!$B$27,$B13)))</f>
      </c>
      <c r="Q13" s="12">
        <f>IF($A13="",0,P13*(1+IF($B13="",Assumptions!$B$27,$B13)))</f>
      </c>
      <c r="R13" s="12">
        <f>IF($A13="",0,Q13*(1+IF($B13="",Assumptions!$B$27,$B13)))</f>
      </c>
      <c r="S13" s="12">
        <f>IF($A13="",0,R13*(1+IF($B13="",Assumptions!$B$27,$B13)))</f>
      </c>
      <c r="T13" s="12">
        <f>IF($A13="",0,S13*(1+IF($B13="",Assumptions!$B$27,$B13)))</f>
      </c>
      <c r="U13" s="12">
        <f>IF($A13="",0,T13*(1+IF($B13="",Assumptions!$B$27,$B13)))</f>
      </c>
      <c r="V13" s="12">
        <f>IF($A13="",0,U13*(1+IF($B13="",Assumptions!$B$27,$B13)))</f>
      </c>
      <c r="W13" s="12">
        <f>IF($A13="",0,V13*(1+IF($B13="",Assumptions!$B$27,$B13)))</f>
      </c>
      <c r="X13" s="12">
        <f>IF($A13="",0,W13*(1+IF($B13="",Assumptions!$B$27,$B13)))</f>
      </c>
      <c r="Y13" s="12">
        <f>IF($A13="",0,X13*(1+IF($B13="",Assumptions!$B$27,$B13)))</f>
      </c>
      <c r="Z13" s="12">
        <f>IF($A13="",0,Y13*(1+IF($B13="",Assumptions!$B$27,$B13)))</f>
      </c>
    </row>
    <row r="14" spans="1:26" x14ac:dyDescent="0.25">
      <c r="A14" s="9"/>
      <c r="B14" s="10"/>
      <c r="C14" s="7"/>
      <c r="D14" s="12">
        <f>IF($A14="",0,C14*(1+IF($B14="",Assumptions!$B$27,$B14)))</f>
      </c>
      <c r="E14" s="12">
        <f>IF($A14="",0,D14*(1+IF($B14="",Assumptions!$B$27,$B14)))</f>
      </c>
      <c r="F14" s="12">
        <f>IF($A14="",0,E14*(1+IF($B14="",Assumptions!$B$27,$B14)))</f>
      </c>
      <c r="G14" s="12">
        <f>IF($A14="",0,F14*(1+IF($B14="",Assumptions!$B$27,$B14)))</f>
      </c>
      <c r="H14" s="12">
        <f>IF($A14="",0,G14*(1+IF($B14="",Assumptions!$B$27,$B14)))</f>
      </c>
      <c r="I14" s="12">
        <f>IF($A14="",0,H14*(1+IF($B14="",Assumptions!$B$27,$B14)))</f>
      </c>
      <c r="J14" s="12">
        <f>IF($A14="",0,I14*(1+IF($B14="",Assumptions!$B$27,$B14)))</f>
      </c>
      <c r="K14" s="12">
        <f>IF($A14="",0,J14*(1+IF($B14="",Assumptions!$B$27,$B14)))</f>
      </c>
      <c r="L14" s="12">
        <f>IF($A14="",0,K14*(1+IF($B14="",Assumptions!$B$27,$B14)))</f>
      </c>
      <c r="M14" s="12">
        <f>IF($A14="",0,L14*(1+IF($B14="",Assumptions!$B$27,$B14)))</f>
      </c>
      <c r="N14" s="12">
        <f>IF($A14="",0,M14*(1+IF($B14="",Assumptions!$B$27,$B14)))</f>
      </c>
      <c r="O14" s="12">
        <f>IF($A14="",0,N14*(1+IF($B14="",Assumptions!$B$27,$B14)))</f>
      </c>
      <c r="P14" s="12">
        <f>IF($A14="",0,O14*(1+IF($B14="",Assumptions!$B$27,$B14)))</f>
      </c>
      <c r="Q14" s="12">
        <f>IF($A14="",0,P14*(1+IF($B14="",Assumptions!$B$27,$B14)))</f>
      </c>
      <c r="R14" s="12">
        <f>IF($A14="",0,Q14*(1+IF($B14="",Assumptions!$B$27,$B14)))</f>
      </c>
      <c r="S14" s="12">
        <f>IF($A14="",0,R14*(1+IF($B14="",Assumptions!$B$27,$B14)))</f>
      </c>
      <c r="T14" s="12">
        <f>IF($A14="",0,S14*(1+IF($B14="",Assumptions!$B$27,$B14)))</f>
      </c>
      <c r="U14" s="12">
        <f>IF($A14="",0,T14*(1+IF($B14="",Assumptions!$B$27,$B14)))</f>
      </c>
      <c r="V14" s="12">
        <f>IF($A14="",0,U14*(1+IF($B14="",Assumptions!$B$27,$B14)))</f>
      </c>
      <c r="W14" s="12">
        <f>IF($A14="",0,V14*(1+IF($B14="",Assumptions!$B$27,$B14)))</f>
      </c>
      <c r="X14" s="12">
        <f>IF($A14="",0,W14*(1+IF($B14="",Assumptions!$B$27,$B14)))</f>
      </c>
      <c r="Y14" s="12">
        <f>IF($A14="",0,X14*(1+IF($B14="",Assumptions!$B$27,$B14)))</f>
      </c>
      <c r="Z14" s="12">
        <f>IF($A14="",0,Y14*(1+IF($B14="",Assumptions!$B$27,$B14)))</f>
      </c>
    </row>
    <row r="15" spans="1:26" x14ac:dyDescent="0.25">
      <c r="A15" s="9"/>
      <c r="B15" s="10"/>
      <c r="C15" s="7"/>
      <c r="D15" s="12">
        <f>IF($A15="",0,C15*(1+IF($B15="",Assumptions!$B$27,$B15)))</f>
      </c>
      <c r="E15" s="12">
        <f>IF($A15="",0,D15*(1+IF($B15="",Assumptions!$B$27,$B15)))</f>
      </c>
      <c r="F15" s="12">
        <f>IF($A15="",0,E15*(1+IF($B15="",Assumptions!$B$27,$B15)))</f>
      </c>
      <c r="G15" s="12">
        <f>IF($A15="",0,F15*(1+IF($B15="",Assumptions!$B$27,$B15)))</f>
      </c>
      <c r="H15" s="12">
        <f>IF($A15="",0,G15*(1+IF($B15="",Assumptions!$B$27,$B15)))</f>
      </c>
      <c r="I15" s="12">
        <f>IF($A15="",0,H15*(1+IF($B15="",Assumptions!$B$27,$B15)))</f>
      </c>
      <c r="J15" s="12">
        <f>IF($A15="",0,I15*(1+IF($B15="",Assumptions!$B$27,$B15)))</f>
      </c>
      <c r="K15" s="12">
        <f>IF($A15="",0,J15*(1+IF($B15="",Assumptions!$B$27,$B15)))</f>
      </c>
      <c r="L15" s="12">
        <f>IF($A15="",0,K15*(1+IF($B15="",Assumptions!$B$27,$B15)))</f>
      </c>
      <c r="M15" s="12">
        <f>IF($A15="",0,L15*(1+IF($B15="",Assumptions!$B$27,$B15)))</f>
      </c>
      <c r="N15" s="12">
        <f>IF($A15="",0,M15*(1+IF($B15="",Assumptions!$B$27,$B15)))</f>
      </c>
      <c r="O15" s="12">
        <f>IF($A15="",0,N15*(1+IF($B15="",Assumptions!$B$27,$B15)))</f>
      </c>
      <c r="P15" s="12">
        <f>IF($A15="",0,O15*(1+IF($B15="",Assumptions!$B$27,$B15)))</f>
      </c>
      <c r="Q15" s="12">
        <f>IF($A15="",0,P15*(1+IF($B15="",Assumptions!$B$27,$B15)))</f>
      </c>
      <c r="R15" s="12">
        <f>IF($A15="",0,Q15*(1+IF($B15="",Assumptions!$B$27,$B15)))</f>
      </c>
      <c r="S15" s="12">
        <f>IF($A15="",0,R15*(1+IF($B15="",Assumptions!$B$27,$B15)))</f>
      </c>
      <c r="T15" s="12">
        <f>IF($A15="",0,S15*(1+IF($B15="",Assumptions!$B$27,$B15)))</f>
      </c>
      <c r="U15" s="12">
        <f>IF($A15="",0,T15*(1+IF($B15="",Assumptions!$B$27,$B15)))</f>
      </c>
      <c r="V15" s="12">
        <f>IF($A15="",0,U15*(1+IF($B15="",Assumptions!$B$27,$B15)))</f>
      </c>
      <c r="W15" s="12">
        <f>IF($A15="",0,V15*(1+IF($B15="",Assumptions!$B$27,$B15)))</f>
      </c>
      <c r="X15" s="12">
        <f>IF($A15="",0,W15*(1+IF($B15="",Assumptions!$B$27,$B15)))</f>
      </c>
      <c r="Y15" s="12">
        <f>IF($A15="",0,X15*(1+IF($B15="",Assumptions!$B$27,$B15)))</f>
      </c>
      <c r="Z15" s="12">
        <f>IF($A15="",0,Y15*(1+IF($B15="",Assumptions!$B$27,$B15)))</f>
      </c>
    </row>
    <row r="16" spans="1:26" x14ac:dyDescent="0.25">
      <c r="A16" s="9"/>
      <c r="B16" s="10"/>
      <c r="C16" s="7"/>
      <c r="D16" s="12">
        <f>IF($A16="",0,C16*(1+IF($B16="",Assumptions!$B$27,$B16)))</f>
      </c>
      <c r="E16" s="12">
        <f>IF($A16="",0,D16*(1+IF($B16="",Assumptions!$B$27,$B16)))</f>
      </c>
      <c r="F16" s="12">
        <f>IF($A16="",0,E16*(1+IF($B16="",Assumptions!$B$27,$B16)))</f>
      </c>
      <c r="G16" s="12">
        <f>IF($A16="",0,F16*(1+IF($B16="",Assumptions!$B$27,$B16)))</f>
      </c>
      <c r="H16" s="12">
        <f>IF($A16="",0,G16*(1+IF($B16="",Assumptions!$B$27,$B16)))</f>
      </c>
      <c r="I16" s="12">
        <f>IF($A16="",0,H16*(1+IF($B16="",Assumptions!$B$27,$B16)))</f>
      </c>
      <c r="J16" s="12">
        <f>IF($A16="",0,I16*(1+IF($B16="",Assumptions!$B$27,$B16)))</f>
      </c>
      <c r="K16" s="12">
        <f>IF($A16="",0,J16*(1+IF($B16="",Assumptions!$B$27,$B16)))</f>
      </c>
      <c r="L16" s="12">
        <f>IF($A16="",0,K16*(1+IF($B16="",Assumptions!$B$27,$B16)))</f>
      </c>
      <c r="M16" s="12">
        <f>IF($A16="",0,L16*(1+IF($B16="",Assumptions!$B$27,$B16)))</f>
      </c>
      <c r="N16" s="12">
        <f>IF($A16="",0,M16*(1+IF($B16="",Assumptions!$B$27,$B16)))</f>
      </c>
      <c r="O16" s="12">
        <f>IF($A16="",0,N16*(1+IF($B16="",Assumptions!$B$27,$B16)))</f>
      </c>
      <c r="P16" s="12">
        <f>IF($A16="",0,O16*(1+IF($B16="",Assumptions!$B$27,$B16)))</f>
      </c>
      <c r="Q16" s="12">
        <f>IF($A16="",0,P16*(1+IF($B16="",Assumptions!$B$27,$B16)))</f>
      </c>
      <c r="R16" s="12">
        <f>IF($A16="",0,Q16*(1+IF($B16="",Assumptions!$B$27,$B16)))</f>
      </c>
      <c r="S16" s="12">
        <f>IF($A16="",0,R16*(1+IF($B16="",Assumptions!$B$27,$B16)))</f>
      </c>
      <c r="T16" s="12">
        <f>IF($A16="",0,S16*(1+IF($B16="",Assumptions!$B$27,$B16)))</f>
      </c>
      <c r="U16" s="12">
        <f>IF($A16="",0,T16*(1+IF($B16="",Assumptions!$B$27,$B16)))</f>
      </c>
      <c r="V16" s="12">
        <f>IF($A16="",0,U16*(1+IF($B16="",Assumptions!$B$27,$B16)))</f>
      </c>
      <c r="W16" s="12">
        <f>IF($A16="",0,V16*(1+IF($B16="",Assumptions!$B$27,$B16)))</f>
      </c>
      <c r="X16" s="12">
        <f>IF($A16="",0,W16*(1+IF($B16="",Assumptions!$B$27,$B16)))</f>
      </c>
      <c r="Y16" s="12">
        <f>IF($A16="",0,X16*(1+IF($B16="",Assumptions!$B$27,$B16)))</f>
      </c>
      <c r="Z16" s="12">
        <f>IF($A16="",0,Y16*(1+IF($B16="",Assumptions!$B$27,$B16)))</f>
      </c>
    </row>
    <row r="17" spans="1:26" x14ac:dyDescent="0.25">
      <c r="A17" s="9"/>
      <c r="B17" s="10"/>
      <c r="C17" s="7"/>
      <c r="D17" s="12">
        <f>IF($A17="",0,C17*(1+IF($B17="",Assumptions!$B$27,$B17)))</f>
      </c>
      <c r="E17" s="12">
        <f>IF($A17="",0,D17*(1+IF($B17="",Assumptions!$B$27,$B17)))</f>
      </c>
      <c r="F17" s="12">
        <f>IF($A17="",0,E17*(1+IF($B17="",Assumptions!$B$27,$B17)))</f>
      </c>
      <c r="G17" s="12">
        <f>IF($A17="",0,F17*(1+IF($B17="",Assumptions!$B$27,$B17)))</f>
      </c>
      <c r="H17" s="12">
        <f>IF($A17="",0,G17*(1+IF($B17="",Assumptions!$B$27,$B17)))</f>
      </c>
      <c r="I17" s="12">
        <f>IF($A17="",0,H17*(1+IF($B17="",Assumptions!$B$27,$B17)))</f>
      </c>
      <c r="J17" s="12">
        <f>IF($A17="",0,I17*(1+IF($B17="",Assumptions!$B$27,$B17)))</f>
      </c>
      <c r="K17" s="12">
        <f>IF($A17="",0,J17*(1+IF($B17="",Assumptions!$B$27,$B17)))</f>
      </c>
      <c r="L17" s="12">
        <f>IF($A17="",0,K17*(1+IF($B17="",Assumptions!$B$27,$B17)))</f>
      </c>
      <c r="M17" s="12">
        <f>IF($A17="",0,L17*(1+IF($B17="",Assumptions!$B$27,$B17)))</f>
      </c>
      <c r="N17" s="12">
        <f>IF($A17="",0,M17*(1+IF($B17="",Assumptions!$B$27,$B17)))</f>
      </c>
      <c r="O17" s="12">
        <f>IF($A17="",0,N17*(1+IF($B17="",Assumptions!$B$27,$B17)))</f>
      </c>
      <c r="P17" s="12">
        <f>IF($A17="",0,O17*(1+IF($B17="",Assumptions!$B$27,$B17)))</f>
      </c>
      <c r="Q17" s="12">
        <f>IF($A17="",0,P17*(1+IF($B17="",Assumptions!$B$27,$B17)))</f>
      </c>
      <c r="R17" s="12">
        <f>IF($A17="",0,Q17*(1+IF($B17="",Assumptions!$B$27,$B17)))</f>
      </c>
      <c r="S17" s="12">
        <f>IF($A17="",0,R17*(1+IF($B17="",Assumptions!$B$27,$B17)))</f>
      </c>
      <c r="T17" s="12">
        <f>IF($A17="",0,S17*(1+IF($B17="",Assumptions!$B$27,$B17)))</f>
      </c>
      <c r="U17" s="12">
        <f>IF($A17="",0,T17*(1+IF($B17="",Assumptions!$B$27,$B17)))</f>
      </c>
      <c r="V17" s="12">
        <f>IF($A17="",0,U17*(1+IF($B17="",Assumptions!$B$27,$B17)))</f>
      </c>
      <c r="W17" s="12">
        <f>IF($A17="",0,V17*(1+IF($B17="",Assumptions!$B$27,$B17)))</f>
      </c>
      <c r="X17" s="12">
        <f>IF($A17="",0,W17*(1+IF($B17="",Assumptions!$B$27,$B17)))</f>
      </c>
      <c r="Y17" s="12">
        <f>IF($A17="",0,X17*(1+IF($B17="",Assumptions!$B$27,$B17)))</f>
      </c>
      <c r="Z17" s="12">
        <f>IF($A17="",0,Y17*(1+IF($B17="",Assumptions!$B$27,$B17)))</f>
      </c>
    </row>
    <row r="18" spans="1:26" x14ac:dyDescent="0.25">
      <c r="A18" s="9"/>
      <c r="B18" s="10"/>
      <c r="C18" s="7"/>
      <c r="D18" s="12">
        <f>IF($A18="",0,C18*(1+IF($B18="",Assumptions!$B$27,$B18)))</f>
      </c>
      <c r="E18" s="12">
        <f>IF($A18="",0,D18*(1+IF($B18="",Assumptions!$B$27,$B18)))</f>
      </c>
      <c r="F18" s="12">
        <f>IF($A18="",0,E18*(1+IF($B18="",Assumptions!$B$27,$B18)))</f>
      </c>
      <c r="G18" s="12">
        <f>IF($A18="",0,F18*(1+IF($B18="",Assumptions!$B$27,$B18)))</f>
      </c>
      <c r="H18" s="12">
        <f>IF($A18="",0,G18*(1+IF($B18="",Assumptions!$B$27,$B18)))</f>
      </c>
      <c r="I18" s="12">
        <f>IF($A18="",0,H18*(1+IF($B18="",Assumptions!$B$27,$B18)))</f>
      </c>
      <c r="J18" s="12">
        <f>IF($A18="",0,I18*(1+IF($B18="",Assumptions!$B$27,$B18)))</f>
      </c>
      <c r="K18" s="12">
        <f>IF($A18="",0,J18*(1+IF($B18="",Assumptions!$B$27,$B18)))</f>
      </c>
      <c r="L18" s="12">
        <f>IF($A18="",0,K18*(1+IF($B18="",Assumptions!$B$27,$B18)))</f>
      </c>
      <c r="M18" s="12">
        <f>IF($A18="",0,L18*(1+IF($B18="",Assumptions!$B$27,$B18)))</f>
      </c>
      <c r="N18" s="12">
        <f>IF($A18="",0,M18*(1+IF($B18="",Assumptions!$B$27,$B18)))</f>
      </c>
      <c r="O18" s="12">
        <f>IF($A18="",0,N18*(1+IF($B18="",Assumptions!$B$27,$B18)))</f>
      </c>
      <c r="P18" s="12">
        <f>IF($A18="",0,O18*(1+IF($B18="",Assumptions!$B$27,$B18)))</f>
      </c>
      <c r="Q18" s="12">
        <f>IF($A18="",0,P18*(1+IF($B18="",Assumptions!$B$27,$B18)))</f>
      </c>
      <c r="R18" s="12">
        <f>IF($A18="",0,Q18*(1+IF($B18="",Assumptions!$B$27,$B18)))</f>
      </c>
      <c r="S18" s="12">
        <f>IF($A18="",0,R18*(1+IF($B18="",Assumptions!$B$27,$B18)))</f>
      </c>
      <c r="T18" s="12">
        <f>IF($A18="",0,S18*(1+IF($B18="",Assumptions!$B$27,$B18)))</f>
      </c>
      <c r="U18" s="12">
        <f>IF($A18="",0,T18*(1+IF($B18="",Assumptions!$B$27,$B18)))</f>
      </c>
      <c r="V18" s="12">
        <f>IF($A18="",0,U18*(1+IF($B18="",Assumptions!$B$27,$B18)))</f>
      </c>
      <c r="W18" s="12">
        <f>IF($A18="",0,V18*(1+IF($B18="",Assumptions!$B$27,$B18)))</f>
      </c>
      <c r="X18" s="12">
        <f>IF($A18="",0,W18*(1+IF($B18="",Assumptions!$B$27,$B18)))</f>
      </c>
      <c r="Y18" s="12">
        <f>IF($A18="",0,X18*(1+IF($B18="",Assumptions!$B$27,$B18)))</f>
      </c>
      <c r="Z18" s="12">
        <f>IF($A18="",0,Y18*(1+IF($B18="",Assumptions!$B$27,$B18)))</f>
      </c>
    </row>
    <row r="19" spans="1:26" x14ac:dyDescent="0.25">
      <c r="A19" s="9"/>
      <c r="B19" s="10"/>
      <c r="C19" s="7"/>
      <c r="D19" s="12">
        <f>IF($A19="",0,C19*(1+IF($B19="",Assumptions!$B$27,$B19)))</f>
      </c>
      <c r="E19" s="12">
        <f>IF($A19="",0,D19*(1+IF($B19="",Assumptions!$B$27,$B19)))</f>
      </c>
      <c r="F19" s="12">
        <f>IF($A19="",0,E19*(1+IF($B19="",Assumptions!$B$27,$B19)))</f>
      </c>
      <c r="G19" s="12">
        <f>IF($A19="",0,F19*(1+IF($B19="",Assumptions!$B$27,$B19)))</f>
      </c>
      <c r="H19" s="12">
        <f>IF($A19="",0,G19*(1+IF($B19="",Assumptions!$B$27,$B19)))</f>
      </c>
      <c r="I19" s="12">
        <f>IF($A19="",0,H19*(1+IF($B19="",Assumptions!$B$27,$B19)))</f>
      </c>
      <c r="J19" s="12">
        <f>IF($A19="",0,I19*(1+IF($B19="",Assumptions!$B$27,$B19)))</f>
      </c>
      <c r="K19" s="12">
        <f>IF($A19="",0,J19*(1+IF($B19="",Assumptions!$B$27,$B19)))</f>
      </c>
      <c r="L19" s="12">
        <f>IF($A19="",0,K19*(1+IF($B19="",Assumptions!$B$27,$B19)))</f>
      </c>
      <c r="M19" s="12">
        <f>IF($A19="",0,L19*(1+IF($B19="",Assumptions!$B$27,$B19)))</f>
      </c>
      <c r="N19" s="12">
        <f>IF($A19="",0,M19*(1+IF($B19="",Assumptions!$B$27,$B19)))</f>
      </c>
      <c r="O19" s="12">
        <f>IF($A19="",0,N19*(1+IF($B19="",Assumptions!$B$27,$B19)))</f>
      </c>
      <c r="P19" s="12">
        <f>IF($A19="",0,O19*(1+IF($B19="",Assumptions!$B$27,$B19)))</f>
      </c>
      <c r="Q19" s="12">
        <f>IF($A19="",0,P19*(1+IF($B19="",Assumptions!$B$27,$B19)))</f>
      </c>
      <c r="R19" s="12">
        <f>IF($A19="",0,Q19*(1+IF($B19="",Assumptions!$B$27,$B19)))</f>
      </c>
      <c r="S19" s="12">
        <f>IF($A19="",0,R19*(1+IF($B19="",Assumptions!$B$27,$B19)))</f>
      </c>
      <c r="T19" s="12">
        <f>IF($A19="",0,S19*(1+IF($B19="",Assumptions!$B$27,$B19)))</f>
      </c>
      <c r="U19" s="12">
        <f>IF($A19="",0,T19*(1+IF($B19="",Assumptions!$B$27,$B19)))</f>
      </c>
      <c r="V19" s="12">
        <f>IF($A19="",0,U19*(1+IF($B19="",Assumptions!$B$27,$B19)))</f>
      </c>
      <c r="W19" s="12">
        <f>IF($A19="",0,V19*(1+IF($B19="",Assumptions!$B$27,$B19)))</f>
      </c>
      <c r="X19" s="12">
        <f>IF($A19="",0,W19*(1+IF($B19="",Assumptions!$B$27,$B19)))</f>
      </c>
      <c r="Y19" s="12">
        <f>IF($A19="",0,X19*(1+IF($B19="",Assumptions!$B$27,$B19)))</f>
      </c>
      <c r="Z19" s="12">
        <f>IF($A19="",0,Y19*(1+IF($B19="",Assumptions!$B$27,$B19)))</f>
      </c>
    </row>
    <row r="20" spans="1:26" x14ac:dyDescent="0.25">
      <c r="A20" s="9"/>
      <c r="B20" s="10"/>
      <c r="C20" s="7"/>
      <c r="D20" s="12">
        <f>IF($A20="",0,C20*(1+IF($B20="",Assumptions!$B$27,$B20)))</f>
      </c>
      <c r="E20" s="12">
        <f>IF($A20="",0,D20*(1+IF($B20="",Assumptions!$B$27,$B20)))</f>
      </c>
      <c r="F20" s="12">
        <f>IF($A20="",0,E20*(1+IF($B20="",Assumptions!$B$27,$B20)))</f>
      </c>
      <c r="G20" s="12">
        <f>IF($A20="",0,F20*(1+IF($B20="",Assumptions!$B$27,$B20)))</f>
      </c>
      <c r="H20" s="12">
        <f>IF($A20="",0,G20*(1+IF($B20="",Assumptions!$B$27,$B20)))</f>
      </c>
      <c r="I20" s="12">
        <f>IF($A20="",0,H20*(1+IF($B20="",Assumptions!$B$27,$B20)))</f>
      </c>
      <c r="J20" s="12">
        <f>IF($A20="",0,I20*(1+IF($B20="",Assumptions!$B$27,$B20)))</f>
      </c>
      <c r="K20" s="12">
        <f>IF($A20="",0,J20*(1+IF($B20="",Assumptions!$B$27,$B20)))</f>
      </c>
      <c r="L20" s="12">
        <f>IF($A20="",0,K20*(1+IF($B20="",Assumptions!$B$27,$B20)))</f>
      </c>
      <c r="M20" s="12">
        <f>IF($A20="",0,L20*(1+IF($B20="",Assumptions!$B$27,$B20)))</f>
      </c>
      <c r="N20" s="12">
        <f>IF($A20="",0,M20*(1+IF($B20="",Assumptions!$B$27,$B20)))</f>
      </c>
      <c r="O20" s="12">
        <f>IF($A20="",0,N20*(1+IF($B20="",Assumptions!$B$27,$B20)))</f>
      </c>
      <c r="P20" s="12">
        <f>IF($A20="",0,O20*(1+IF($B20="",Assumptions!$B$27,$B20)))</f>
      </c>
      <c r="Q20" s="12">
        <f>IF($A20="",0,P20*(1+IF($B20="",Assumptions!$B$27,$B20)))</f>
      </c>
      <c r="R20" s="12">
        <f>IF($A20="",0,Q20*(1+IF($B20="",Assumptions!$B$27,$B20)))</f>
      </c>
      <c r="S20" s="12">
        <f>IF($A20="",0,R20*(1+IF($B20="",Assumptions!$B$27,$B20)))</f>
      </c>
      <c r="T20" s="12">
        <f>IF($A20="",0,S20*(1+IF($B20="",Assumptions!$B$27,$B20)))</f>
      </c>
      <c r="U20" s="12">
        <f>IF($A20="",0,T20*(1+IF($B20="",Assumptions!$B$27,$B20)))</f>
      </c>
      <c r="V20" s="12">
        <f>IF($A20="",0,U20*(1+IF($B20="",Assumptions!$B$27,$B20)))</f>
      </c>
      <c r="W20" s="12">
        <f>IF($A20="",0,V20*(1+IF($B20="",Assumptions!$B$27,$B20)))</f>
      </c>
      <c r="X20" s="12">
        <f>IF($A20="",0,W20*(1+IF($B20="",Assumptions!$B$27,$B20)))</f>
      </c>
      <c r="Y20" s="12">
        <f>IF($A20="",0,X20*(1+IF($B20="",Assumptions!$B$27,$B20)))</f>
      </c>
      <c r="Z20" s="12">
        <f>IF($A20="",0,Y20*(1+IF($B20="",Assumptions!$B$27,$B20)))</f>
      </c>
    </row>
    <row r="21" spans="1:26" x14ac:dyDescent="0.25">
      <c r="A21" s="13" t="s">
        <v>119</v>
      </c>
      <c r="C21" s="14">
        <f>SUM(C5:C20)</f>
      </c>
      <c r="D21" s="14">
        <f>SUM(D5:D20)</f>
      </c>
      <c r="E21" s="14">
        <f>SUM(E5:E20)</f>
      </c>
      <c r="F21" s="14">
        <f>SUM(F5:F20)</f>
      </c>
      <c r="G21" s="14">
        <f>SUM(G5:G20)</f>
      </c>
      <c r="H21" s="14">
        <f>SUM(H5:H20)</f>
      </c>
      <c r="I21" s="14">
        <f>SUM(I5:I20)</f>
      </c>
      <c r="J21" s="14">
        <f>SUM(J5:J20)</f>
      </c>
      <c r="K21" s="14">
        <f>SUM(K5:K20)</f>
      </c>
      <c r="L21" s="14">
        <f>SUM(L5:L20)</f>
      </c>
      <c r="M21" s="14">
        <f>SUM(M5:M20)</f>
      </c>
      <c r="N21" s="14">
        <f>SUM(N5:N20)</f>
      </c>
      <c r="O21" s="14">
        <f>SUM(O5:O20)</f>
      </c>
      <c r="P21" s="14">
        <f>SUM(P5:P20)</f>
      </c>
      <c r="Q21" s="14">
        <f>SUM(Q5:Q20)</f>
      </c>
      <c r="R21" s="14">
        <f>SUM(R5:R20)</f>
      </c>
      <c r="S21" s="14">
        <f>SUM(S5:S20)</f>
      </c>
      <c r="T21" s="14">
        <f>SUM(T5:T20)</f>
      </c>
      <c r="U21" s="14">
        <f>SUM(U5:U20)</f>
      </c>
      <c r="V21" s="14">
        <f>SUM(V5:V20)</f>
      </c>
      <c r="W21" s="14">
        <f>SUM(W5:W20)</f>
      </c>
      <c r="X21" s="14">
        <f>SUM(X5:X20)</f>
      </c>
      <c r="Y21" s="14">
        <f>SUM(Y5:Y20)</f>
      </c>
      <c r="Z21" s="14">
        <f>SUM(Z5:Z20)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Y19"/>
  <sheetViews>
    <sheetView workbookViewId="0" showGridLines="0"/>
  </sheetViews>
  <sheetFormatPr defaultRowHeight="15" outlineLevelRow="0" outlineLevelCol="0" x14ac:dyDescent="55"/>
  <cols>
    <col min="1" max="1" width="34" customWidth="1"/>
    <col min="2" max="25" width="14" customWidth="1"/>
  </cols>
  <sheetData>
    <row r="1" spans="1:1" x14ac:dyDescent="0.25">
      <c r="A1" s="1" t="s">
        <v>120</v>
      </c>
    </row>
    <row r="2" spans="1:1" x14ac:dyDescent="0.25">
      <c r="A2" s="2" t="s">
        <v>121</v>
      </c>
    </row>
    <row r="4" ht="22" customHeight="1" spans="1:25" x14ac:dyDescent="0.25">
      <c r="A4" s="11" t="s">
        <v>122</v>
      </c>
      <c r="B4" s="11" t="s">
        <v>61</v>
      </c>
      <c r="C4" s="11" t="s">
        <v>62</v>
      </c>
      <c r="D4" s="11" t="s">
        <v>63</v>
      </c>
      <c r="E4" s="11" t="s">
        <v>64</v>
      </c>
      <c r="F4" s="11" t="s">
        <v>65</v>
      </c>
      <c r="G4" s="11" t="s">
        <v>66</v>
      </c>
      <c r="H4" s="11" t="s">
        <v>67</v>
      </c>
      <c r="I4" s="11" t="s">
        <v>68</v>
      </c>
      <c r="J4" s="11" t="s">
        <v>69</v>
      </c>
      <c r="K4" s="11" t="s">
        <v>70</v>
      </c>
      <c r="L4" s="11" t="s">
        <v>71</v>
      </c>
      <c r="M4" s="11" t="s">
        <v>72</v>
      </c>
      <c r="N4" s="11" t="s">
        <v>73</v>
      </c>
      <c r="O4" s="11" t="s">
        <v>74</v>
      </c>
      <c r="P4" s="11" t="s">
        <v>75</v>
      </c>
      <c r="Q4" s="11" t="s">
        <v>76</v>
      </c>
      <c r="R4" s="11" t="s">
        <v>77</v>
      </c>
      <c r="S4" s="11" t="s">
        <v>78</v>
      </c>
      <c r="T4" s="11" t="s">
        <v>79</v>
      </c>
      <c r="U4" s="11" t="s">
        <v>80</v>
      </c>
      <c r="V4" s="11" t="s">
        <v>81</v>
      </c>
      <c r="W4" s="11" t="s">
        <v>82</v>
      </c>
      <c r="X4" s="11" t="s">
        <v>83</v>
      </c>
      <c r="Y4" s="11" t="s">
        <v>84</v>
      </c>
    </row>
    <row r="5" spans="1:25" x14ac:dyDescent="0.25">
      <c r="A5" t="s">
        <v>123</v>
      </c>
      <c r="B5" s="15">
        <f>Assumptions!$B$10</f>
      </c>
      <c r="C5" s="15">
        <f>B8</f>
      </c>
      <c r="D5" s="15">
        <f>C8</f>
      </c>
      <c r="E5" s="15">
        <f>D8</f>
      </c>
      <c r="F5" s="15">
        <f>E8</f>
      </c>
      <c r="G5" s="15">
        <f>F8</f>
      </c>
      <c r="H5" s="15">
        <f>G8</f>
      </c>
      <c r="I5" s="15">
        <f>H8</f>
      </c>
      <c r="J5" s="15">
        <f>I8</f>
      </c>
      <c r="K5" s="15">
        <f>J8</f>
      </c>
      <c r="L5" s="15">
        <f>K8</f>
      </c>
      <c r="M5" s="15">
        <f>L8</f>
      </c>
      <c r="N5" s="15">
        <f>M8</f>
      </c>
      <c r="O5" s="15">
        <f>N8</f>
      </c>
      <c r="P5" s="15">
        <f>O8</f>
      </c>
      <c r="Q5" s="15">
        <f>P8</f>
      </c>
      <c r="R5" s="15">
        <f>Q8</f>
      </c>
      <c r="S5" s="15">
        <f>R8</f>
      </c>
      <c r="T5" s="15">
        <f>S8</f>
      </c>
      <c r="U5" s="15">
        <f>T8</f>
      </c>
      <c r="V5" s="15">
        <f>U8</f>
      </c>
      <c r="W5" s="15">
        <f>V8</f>
      </c>
      <c r="X5" s="15">
        <f>W8</f>
      </c>
      <c r="Y5" s="15">
        <f>X8</f>
      </c>
    </row>
    <row r="6" spans="1:25" x14ac:dyDescent="0.25">
      <c r="A6" t="s">
        <v>124</v>
      </c>
      <c r="B6" s="15">
        <f>Assumptions!$B$11*(1+Assumptions!$B$12)^0</f>
      </c>
      <c r="C6" s="15">
        <f>Assumptions!$B$11*(1+Assumptions!$B$12)^1</f>
      </c>
      <c r="D6" s="15">
        <f>Assumptions!$B$11*(1+Assumptions!$B$12)^2</f>
      </c>
      <c r="E6" s="15">
        <f>Assumptions!$B$11*(1+Assumptions!$B$12)^3</f>
      </c>
      <c r="F6" s="15">
        <f>Assumptions!$B$11*(1+Assumptions!$B$12)^4</f>
      </c>
      <c r="G6" s="15">
        <f>Assumptions!$B$11*(1+Assumptions!$B$12)^5</f>
      </c>
      <c r="H6" s="15">
        <f>Assumptions!$B$11*(1+Assumptions!$B$12)^6</f>
      </c>
      <c r="I6" s="15">
        <f>Assumptions!$B$11*(1+Assumptions!$B$12)^7</f>
      </c>
      <c r="J6" s="15">
        <f>Assumptions!$B$11*(1+Assumptions!$B$12)^8</f>
      </c>
      <c r="K6" s="15">
        <f>Assumptions!$B$11*(1+Assumptions!$B$12)^9</f>
      </c>
      <c r="L6" s="15">
        <f>Assumptions!$B$11*(1+Assumptions!$B$12)^10</f>
      </c>
      <c r="M6" s="15">
        <f>Assumptions!$B$11*(1+Assumptions!$B$12)^11</f>
      </c>
      <c r="N6" s="15">
        <f>Assumptions!$B$11*(1+Assumptions!$B$12)^12</f>
      </c>
      <c r="O6" s="15">
        <f>Assumptions!$B$11*(1+Assumptions!$B$12)^13</f>
      </c>
      <c r="P6" s="15">
        <f>Assumptions!$B$11*(1+Assumptions!$B$12)^14</f>
      </c>
      <c r="Q6" s="15">
        <f>Assumptions!$B$11*(1+Assumptions!$B$12)^15</f>
      </c>
      <c r="R6" s="15">
        <f>Assumptions!$B$11*(1+Assumptions!$B$12)^16</f>
      </c>
      <c r="S6" s="15">
        <f>Assumptions!$B$11*(1+Assumptions!$B$12)^17</f>
      </c>
      <c r="T6" s="15">
        <f>Assumptions!$B$11*(1+Assumptions!$B$12)^18</f>
      </c>
      <c r="U6" s="15">
        <f>Assumptions!$B$11*(1+Assumptions!$B$12)^19</f>
      </c>
      <c r="V6" s="15">
        <f>Assumptions!$B$11*(1+Assumptions!$B$12)^20</f>
      </c>
      <c r="W6" s="15">
        <f>Assumptions!$B$11*(1+Assumptions!$B$12)^21</f>
      </c>
      <c r="X6" s="15">
        <f>Assumptions!$B$11*(1+Assumptions!$B$12)^22</f>
      </c>
      <c r="Y6" s="15">
        <f>Assumptions!$B$11*(1+Assumptions!$B$12)^23</f>
      </c>
    </row>
    <row r="7" spans="1:25" x14ac:dyDescent="0.25">
      <c r="A7" t="s">
        <v>125</v>
      </c>
      <c r="B7" s="15">
        <f>B5*Assumptions!$B$16</f>
      </c>
      <c r="C7" s="15">
        <f>C5*Assumptions!$B$16</f>
      </c>
      <c r="D7" s="15">
        <f>D5*Assumptions!$B$16</f>
      </c>
      <c r="E7" s="15">
        <f>E5*Assumptions!$B$16</f>
      </c>
      <c r="F7" s="15">
        <f>F5*Assumptions!$B$16</f>
      </c>
      <c r="G7" s="15">
        <f>G5*Assumptions!$B$16</f>
      </c>
      <c r="H7" s="15">
        <f>H5*Assumptions!$B$16</f>
      </c>
      <c r="I7" s="15">
        <f>I5*Assumptions!$B$16</f>
      </c>
      <c r="J7" s="15">
        <f>J5*Assumptions!$B$16</f>
      </c>
      <c r="K7" s="15">
        <f>K5*Assumptions!$B$16</f>
      </c>
      <c r="L7" s="15">
        <f>L5*Assumptions!$B$16</f>
      </c>
      <c r="M7" s="15">
        <f>M5*Assumptions!$B$16</f>
      </c>
      <c r="N7" s="15">
        <f>N5*Assumptions!$B$16</f>
      </c>
      <c r="O7" s="15">
        <f>O5*Assumptions!$B$16</f>
      </c>
      <c r="P7" s="15">
        <f>P5*Assumptions!$B$16</f>
      </c>
      <c r="Q7" s="15">
        <f>Q5*Assumptions!$B$16</f>
      </c>
      <c r="R7" s="15">
        <f>R5*Assumptions!$B$16</f>
      </c>
      <c r="S7" s="15">
        <f>S5*Assumptions!$B$16</f>
      </c>
      <c r="T7" s="15">
        <f>T5*Assumptions!$B$16</f>
      </c>
      <c r="U7" s="15">
        <f>U5*Assumptions!$B$16</f>
      </c>
      <c r="V7" s="15">
        <f>V5*Assumptions!$B$16</f>
      </c>
      <c r="W7" s="15">
        <f>W5*Assumptions!$B$16</f>
      </c>
      <c r="X7" s="15">
        <f>X5*Assumptions!$B$16</f>
      </c>
      <c r="Y7" s="15">
        <f>Y5*Assumptions!$B$16</f>
      </c>
    </row>
    <row r="8" spans="1:25" x14ac:dyDescent="0.25">
      <c r="A8" t="s">
        <v>126</v>
      </c>
      <c r="B8" s="15">
        <f>B5+B6-B7</f>
      </c>
      <c r="C8" s="15">
        <f>C5+C6-C7</f>
      </c>
      <c r="D8" s="15">
        <f>D5+D6-D7</f>
      </c>
      <c r="E8" s="15">
        <f>E5+E6-E7</f>
      </c>
      <c r="F8" s="15">
        <f>F5+F6-F7</f>
      </c>
      <c r="G8" s="15">
        <f>G5+G6-G7</f>
      </c>
      <c r="H8" s="15">
        <f>H5+H6-H7</f>
      </c>
      <c r="I8" s="15">
        <f>I5+I6-I7</f>
      </c>
      <c r="J8" s="15">
        <f>J5+J6-J7</f>
      </c>
      <c r="K8" s="15">
        <f>K5+K6-K7</f>
      </c>
      <c r="L8" s="15">
        <f>L5+L6-L7</f>
      </c>
      <c r="M8" s="15">
        <f>M5+M6-M7</f>
      </c>
      <c r="N8" s="15">
        <f>N5+N6-N7</f>
      </c>
      <c r="O8" s="15">
        <f>O5+O6-O7</f>
      </c>
      <c r="P8" s="15">
        <f>P5+P6-P7</f>
      </c>
      <c r="Q8" s="15">
        <f>Q5+Q6-Q7</f>
      </c>
      <c r="R8" s="15">
        <f>R5+R6-R7</f>
      </c>
      <c r="S8" s="15">
        <f>S5+S6-S7</f>
      </c>
      <c r="T8" s="15">
        <f>T5+T6-T7</f>
      </c>
      <c r="U8" s="15">
        <f>U5+U6-U7</f>
      </c>
      <c r="V8" s="15">
        <f>V5+V6-V7</f>
      </c>
      <c r="W8" s="15">
        <f>W5+W6-W7</f>
      </c>
      <c r="X8" s="15">
        <f>X5+X6-X7</f>
      </c>
      <c r="Y8" s="15">
        <f>Y5+Y6-Y7</f>
      </c>
    </row>
    <row r="9" spans="1:25" x14ac:dyDescent="0.25">
      <c r="A9" t="s">
        <v>127</v>
      </c>
      <c r="B9" s="12">
        <f>Assumptions!$B$13*IF(1&gt;=Assumptions!$B$14,1+Assumptions!$B$15,1)</f>
      </c>
      <c r="C9" s="12">
        <f>Assumptions!$B$13*IF(2&gt;=Assumptions!$B$14,1+Assumptions!$B$15,1)</f>
      </c>
      <c r="D9" s="12">
        <f>Assumptions!$B$13*IF(3&gt;=Assumptions!$B$14,1+Assumptions!$B$15,1)</f>
      </c>
      <c r="E9" s="12">
        <f>Assumptions!$B$13*IF(4&gt;=Assumptions!$B$14,1+Assumptions!$B$15,1)</f>
      </c>
      <c r="F9" s="12">
        <f>Assumptions!$B$13*IF(5&gt;=Assumptions!$B$14,1+Assumptions!$B$15,1)</f>
      </c>
      <c r="G9" s="12">
        <f>Assumptions!$B$13*IF(6&gt;=Assumptions!$B$14,1+Assumptions!$B$15,1)</f>
      </c>
      <c r="H9" s="12">
        <f>Assumptions!$B$13*IF(7&gt;=Assumptions!$B$14,1+Assumptions!$B$15,1)</f>
      </c>
      <c r="I9" s="12">
        <f>Assumptions!$B$13*IF(8&gt;=Assumptions!$B$14,1+Assumptions!$B$15,1)</f>
      </c>
      <c r="J9" s="12">
        <f>Assumptions!$B$13*IF(9&gt;=Assumptions!$B$14,1+Assumptions!$B$15,1)</f>
      </c>
      <c r="K9" s="12">
        <f>Assumptions!$B$13*IF(10&gt;=Assumptions!$B$14,1+Assumptions!$B$15,1)</f>
      </c>
      <c r="L9" s="12">
        <f>Assumptions!$B$13*IF(11&gt;=Assumptions!$B$14,1+Assumptions!$B$15,1)</f>
      </c>
      <c r="M9" s="12">
        <f>Assumptions!$B$13*IF(12&gt;=Assumptions!$B$14,1+Assumptions!$B$15,1)</f>
      </c>
      <c r="N9" s="12">
        <f>Assumptions!$B$13*IF(13&gt;=Assumptions!$B$14,1+Assumptions!$B$15,1)</f>
      </c>
      <c r="O9" s="12">
        <f>Assumptions!$B$13*IF(14&gt;=Assumptions!$B$14,1+Assumptions!$B$15,1)</f>
      </c>
      <c r="P9" s="12">
        <f>Assumptions!$B$13*IF(15&gt;=Assumptions!$B$14,1+Assumptions!$B$15,1)</f>
      </c>
      <c r="Q9" s="12">
        <f>Assumptions!$B$13*IF(16&gt;=Assumptions!$B$14,1+Assumptions!$B$15,1)</f>
      </c>
      <c r="R9" s="12">
        <f>Assumptions!$B$13*IF(17&gt;=Assumptions!$B$14,1+Assumptions!$B$15,1)</f>
      </c>
      <c r="S9" s="12">
        <f>Assumptions!$B$13*IF(18&gt;=Assumptions!$B$14,1+Assumptions!$B$15,1)</f>
      </c>
      <c r="T9" s="12">
        <f>Assumptions!$B$13*IF(19&gt;=Assumptions!$B$14,1+Assumptions!$B$15,1)</f>
      </c>
      <c r="U9" s="12">
        <f>Assumptions!$B$13*IF(20&gt;=Assumptions!$B$14,1+Assumptions!$B$15,1)</f>
      </c>
      <c r="V9" s="12">
        <f>Assumptions!$B$13*IF(21&gt;=Assumptions!$B$14,1+Assumptions!$B$15,1)</f>
      </c>
      <c r="W9" s="12">
        <f>Assumptions!$B$13*IF(22&gt;=Assumptions!$B$14,1+Assumptions!$B$15,1)</f>
      </c>
      <c r="X9" s="12">
        <f>Assumptions!$B$13*IF(23&gt;=Assumptions!$B$14,1+Assumptions!$B$15,1)</f>
      </c>
      <c r="Y9" s="12">
        <f>Assumptions!$B$13*IF(24&gt;=Assumptions!$B$14,1+Assumptions!$B$15,1)</f>
      </c>
    </row>
    <row r="10" spans="1:25" x14ac:dyDescent="0.25">
      <c r="A10" t="s">
        <v>128</v>
      </c>
      <c r="B10" s="12">
        <f>(B5+B8)/2*B9</f>
      </c>
      <c r="C10" s="12">
        <f>(C5+C8)/2*C9</f>
      </c>
      <c r="D10" s="12">
        <f>(D5+D8)/2*D9</f>
      </c>
      <c r="E10" s="12">
        <f>(E5+E8)/2*E9</f>
      </c>
      <c r="F10" s="12">
        <f>(F5+F8)/2*F9</f>
      </c>
      <c r="G10" s="12">
        <f>(G5+G8)/2*G9</f>
      </c>
      <c r="H10" s="12">
        <f>(H5+H8)/2*H9</f>
      </c>
      <c r="I10" s="12">
        <f>(I5+I8)/2*I9</f>
      </c>
      <c r="J10" s="12">
        <f>(J5+J8)/2*J9</f>
      </c>
      <c r="K10" s="12">
        <f>(K5+K8)/2*K9</f>
      </c>
      <c r="L10" s="12">
        <f>(L5+L8)/2*L9</f>
      </c>
      <c r="M10" s="12">
        <f>(M5+M8)/2*M9</f>
      </c>
      <c r="N10" s="12">
        <f>(N5+N8)/2*N9</f>
      </c>
      <c r="O10" s="12">
        <f>(O5+O8)/2*O9</f>
      </c>
      <c r="P10" s="12">
        <f>(P5+P8)/2*P9</f>
      </c>
      <c r="Q10" s="12">
        <f>(Q5+Q8)/2*Q9</f>
      </c>
      <c r="R10" s="12">
        <f>(R5+R8)/2*R9</f>
      </c>
      <c r="S10" s="12">
        <f>(S5+S8)/2*S9</f>
      </c>
      <c r="T10" s="12">
        <f>(T5+T8)/2*T9</f>
      </c>
      <c r="U10" s="12">
        <f>(U5+U8)/2*U9</f>
      </c>
      <c r="V10" s="12">
        <f>(V5+V8)/2*V9</f>
      </c>
      <c r="W10" s="12">
        <f>(W5+W8)/2*W9</f>
      </c>
      <c r="X10" s="12">
        <f>(X5+X8)/2*X9</f>
      </c>
      <c r="Y10" s="12">
        <f>(Y5+Y8)/2*Y9</f>
      </c>
    </row>
    <row r="11" spans="1:25" x14ac:dyDescent="0.25">
      <c r="A11" t="s">
        <v>129</v>
      </c>
      <c r="B11" s="12">
        <f>(B5+B8)/2*Assumptions!$B$17</f>
      </c>
      <c r="C11" s="12">
        <f>(C5+C8)/2*Assumptions!$B$17</f>
      </c>
      <c r="D11" s="12">
        <f>(D5+D8)/2*Assumptions!$B$17</f>
      </c>
      <c r="E11" s="12">
        <f>(E5+E8)/2*Assumptions!$B$17</f>
      </c>
      <c r="F11" s="12">
        <f>(F5+F8)/2*Assumptions!$B$17</f>
      </c>
      <c r="G11" s="12">
        <f>(G5+G8)/2*Assumptions!$B$17</f>
      </c>
      <c r="H11" s="12">
        <f>(H5+H8)/2*Assumptions!$B$17</f>
      </c>
      <c r="I11" s="12">
        <f>(I5+I8)/2*Assumptions!$B$17</f>
      </c>
      <c r="J11" s="12">
        <f>(J5+J8)/2*Assumptions!$B$17</f>
      </c>
      <c r="K11" s="12">
        <f>(K5+K8)/2*Assumptions!$B$17</f>
      </c>
      <c r="L11" s="12">
        <f>(L5+L8)/2*Assumptions!$B$17</f>
      </c>
      <c r="M11" s="12">
        <f>(M5+M8)/2*Assumptions!$B$17</f>
      </c>
      <c r="N11" s="12">
        <f>(N5+N8)/2*Assumptions!$B$17</f>
      </c>
      <c r="O11" s="12">
        <f>(O5+O8)/2*Assumptions!$B$17</f>
      </c>
      <c r="P11" s="12">
        <f>(P5+P8)/2*Assumptions!$B$17</f>
      </c>
      <c r="Q11" s="12">
        <f>(Q5+Q8)/2*Assumptions!$B$17</f>
      </c>
      <c r="R11" s="12">
        <f>(R5+R8)/2*Assumptions!$B$17</f>
      </c>
      <c r="S11" s="12">
        <f>(S5+S8)/2*Assumptions!$B$17</f>
      </c>
      <c r="T11" s="12">
        <f>(T5+T8)/2*Assumptions!$B$17</f>
      </c>
      <c r="U11" s="12">
        <f>(U5+U8)/2*Assumptions!$B$17</f>
      </c>
      <c r="V11" s="12">
        <f>(V5+V8)/2*Assumptions!$B$17</f>
      </c>
      <c r="W11" s="12">
        <f>(W5+W8)/2*Assumptions!$B$17</f>
      </c>
      <c r="X11" s="12">
        <f>(X5+X8)/2*Assumptions!$B$17</f>
      </c>
      <c r="Y11" s="12">
        <f>(Y5+Y8)/2*Assumptions!$B$17</f>
      </c>
    </row>
    <row r="12" spans="1:25" x14ac:dyDescent="0.25">
      <c r="A12" t="s">
        <v>130</v>
      </c>
      <c r="B12" s="15">
        <f>Assumptions!$B$20*(1+Assumptions!$B$21)^0</f>
      </c>
      <c r="C12" s="15">
        <f>Assumptions!$B$20*(1+Assumptions!$B$21)^1</f>
      </c>
      <c r="D12" s="15">
        <f>Assumptions!$B$20*(1+Assumptions!$B$21)^2</f>
      </c>
      <c r="E12" s="15">
        <f>Assumptions!$B$20*(1+Assumptions!$B$21)^3</f>
      </c>
      <c r="F12" s="15">
        <f>Assumptions!$B$20*(1+Assumptions!$B$21)^4</f>
      </c>
      <c r="G12" s="15">
        <f>Assumptions!$B$20*(1+Assumptions!$B$21)^5</f>
      </c>
      <c r="H12" s="15">
        <f>Assumptions!$B$20*(1+Assumptions!$B$21)^6</f>
      </c>
      <c r="I12" s="15">
        <f>Assumptions!$B$20*(1+Assumptions!$B$21)^7</f>
      </c>
      <c r="J12" s="15">
        <f>Assumptions!$B$20*(1+Assumptions!$B$21)^8</f>
      </c>
      <c r="K12" s="15">
        <f>Assumptions!$B$20*(1+Assumptions!$B$21)^9</f>
      </c>
      <c r="L12" s="15">
        <f>Assumptions!$B$20*(1+Assumptions!$B$21)^10</f>
      </c>
      <c r="M12" s="15">
        <f>Assumptions!$B$20*(1+Assumptions!$B$21)^11</f>
      </c>
      <c r="N12" s="15">
        <f>Assumptions!$B$20*(1+Assumptions!$B$21)^12</f>
      </c>
      <c r="O12" s="15">
        <f>Assumptions!$B$20*(1+Assumptions!$B$21)^13</f>
      </c>
      <c r="P12" s="15">
        <f>Assumptions!$B$20*(1+Assumptions!$B$21)^14</f>
      </c>
      <c r="Q12" s="15">
        <f>Assumptions!$B$20*(1+Assumptions!$B$21)^15</f>
      </c>
      <c r="R12" s="15">
        <f>Assumptions!$B$20*(1+Assumptions!$B$21)^16</f>
      </c>
      <c r="S12" s="15">
        <f>Assumptions!$B$20*(1+Assumptions!$B$21)^17</f>
      </c>
      <c r="T12" s="15">
        <f>Assumptions!$B$20*(1+Assumptions!$B$21)^18</f>
      </c>
      <c r="U12" s="15">
        <f>Assumptions!$B$20*(1+Assumptions!$B$21)^19</f>
      </c>
      <c r="V12" s="15">
        <f>Assumptions!$B$20*(1+Assumptions!$B$21)^20</f>
      </c>
      <c r="W12" s="15">
        <f>Assumptions!$B$20*(1+Assumptions!$B$21)^21</f>
      </c>
      <c r="X12" s="15">
        <f>Assumptions!$B$20*(1+Assumptions!$B$21)^22</f>
      </c>
      <c r="Y12" s="15">
        <f>Assumptions!$B$20*(1+Assumptions!$B$21)^23</f>
      </c>
    </row>
    <row r="13" spans="1:25" x14ac:dyDescent="0.25">
      <c r="A13" t="s">
        <v>131</v>
      </c>
      <c r="B13" s="12">
        <f>B12*Assumptions!$B$22</f>
      </c>
      <c r="C13" s="12">
        <f>C12*Assumptions!$B$22</f>
      </c>
      <c r="D13" s="12">
        <f>D12*Assumptions!$B$22</f>
      </c>
      <c r="E13" s="12">
        <f>E12*Assumptions!$B$22</f>
      </c>
      <c r="F13" s="12">
        <f>F12*Assumptions!$B$22</f>
      </c>
      <c r="G13" s="12">
        <f>G12*Assumptions!$B$22</f>
      </c>
      <c r="H13" s="12">
        <f>H12*Assumptions!$B$22</f>
      </c>
      <c r="I13" s="12">
        <f>I12*Assumptions!$B$22</f>
      </c>
      <c r="J13" s="12">
        <f>J12*Assumptions!$B$22</f>
      </c>
      <c r="K13" s="12">
        <f>K12*Assumptions!$B$22</f>
      </c>
      <c r="L13" s="12">
        <f>L12*Assumptions!$B$22</f>
      </c>
      <c r="M13" s="12">
        <f>M12*Assumptions!$B$22</f>
      </c>
      <c r="N13" s="12">
        <f>N12*Assumptions!$B$22</f>
      </c>
      <c r="O13" s="12">
        <f>O12*Assumptions!$B$22</f>
      </c>
      <c r="P13" s="12">
        <f>P12*Assumptions!$B$22</f>
      </c>
      <c r="Q13" s="12">
        <f>Q12*Assumptions!$B$22</f>
      </c>
      <c r="R13" s="12">
        <f>R12*Assumptions!$B$22</f>
      </c>
      <c r="S13" s="12">
        <f>S12*Assumptions!$B$22</f>
      </c>
      <c r="T13" s="12">
        <f>T12*Assumptions!$B$22</f>
      </c>
      <c r="U13" s="12">
        <f>U12*Assumptions!$B$22</f>
      </c>
      <c r="V13" s="12">
        <f>V12*Assumptions!$B$22</f>
      </c>
      <c r="W13" s="12">
        <f>W12*Assumptions!$B$22</f>
      </c>
      <c r="X13" s="12">
        <f>X12*Assumptions!$B$22</f>
      </c>
      <c r="Y13" s="12">
        <f>Y12*Assumptions!$B$22</f>
      </c>
    </row>
    <row r="14" spans="1:25" x14ac:dyDescent="0.25">
      <c r="A14" t="s">
        <v>132</v>
      </c>
      <c r="B14" s="12">
        <f>B12*Assumptions!$B$23</f>
      </c>
      <c r="C14" s="12">
        <f>C12*Assumptions!$B$23</f>
      </c>
      <c r="D14" s="12">
        <f>D12*Assumptions!$B$23</f>
      </c>
      <c r="E14" s="12">
        <f>E12*Assumptions!$B$23</f>
      </c>
      <c r="F14" s="12">
        <f>F12*Assumptions!$B$23</f>
      </c>
      <c r="G14" s="12">
        <f>G12*Assumptions!$B$23</f>
      </c>
      <c r="H14" s="12">
        <f>H12*Assumptions!$B$23</f>
      </c>
      <c r="I14" s="12">
        <f>I12*Assumptions!$B$23</f>
      </c>
      <c r="J14" s="12">
        <f>J12*Assumptions!$B$23</f>
      </c>
      <c r="K14" s="12">
        <f>K12*Assumptions!$B$23</f>
      </c>
      <c r="L14" s="12">
        <f>L12*Assumptions!$B$23</f>
      </c>
      <c r="M14" s="12">
        <f>M12*Assumptions!$B$23</f>
      </c>
      <c r="N14" s="12">
        <f>N12*Assumptions!$B$23</f>
      </c>
      <c r="O14" s="12">
        <f>O12*Assumptions!$B$23</f>
      </c>
      <c r="P14" s="12">
        <f>P12*Assumptions!$B$23</f>
      </c>
      <c r="Q14" s="12">
        <f>Q12*Assumptions!$B$23</f>
      </c>
      <c r="R14" s="12">
        <f>R12*Assumptions!$B$23</f>
      </c>
      <c r="S14" s="12">
        <f>S12*Assumptions!$B$23</f>
      </c>
      <c r="T14" s="12">
        <f>T12*Assumptions!$B$23</f>
      </c>
      <c r="U14" s="12">
        <f>U12*Assumptions!$B$23</f>
      </c>
      <c r="V14" s="12">
        <f>V12*Assumptions!$B$23</f>
      </c>
      <c r="W14" s="12">
        <f>W12*Assumptions!$B$23</f>
      </c>
      <c r="X14" s="12">
        <f>X12*Assumptions!$B$23</f>
      </c>
      <c r="Y14" s="12">
        <f>Y12*Assumptions!$B$23</f>
      </c>
    </row>
    <row r="15" spans="1:25" x14ac:dyDescent="0.25">
      <c r="A15" s="13" t="s">
        <v>133</v>
      </c>
      <c r="B15" s="14">
        <f>B10+B13</f>
      </c>
      <c r="C15" s="14">
        <f>C10+C13</f>
      </c>
      <c r="D15" s="14">
        <f>D10+D13</f>
      </c>
      <c r="E15" s="14">
        <f>E10+E13</f>
      </c>
      <c r="F15" s="14">
        <f>F10+F13</f>
      </c>
      <c r="G15" s="14">
        <f>G10+G13</f>
      </c>
      <c r="H15" s="14">
        <f>H10+H13</f>
      </c>
      <c r="I15" s="14">
        <f>I10+I13</f>
      </c>
      <c r="J15" s="14">
        <f>J10+J13</f>
      </c>
      <c r="K15" s="14">
        <f>K10+K13</f>
      </c>
      <c r="L15" s="14">
        <f>L10+L13</f>
      </c>
      <c r="M15" s="14">
        <f>M10+M13</f>
      </c>
      <c r="N15" s="14">
        <f>N10+N13</f>
      </c>
      <c r="O15" s="14">
        <f>O10+O13</f>
      </c>
      <c r="P15" s="14">
        <f>P10+P13</f>
      </c>
      <c r="Q15" s="14">
        <f>Q10+Q13</f>
      </c>
      <c r="R15" s="14">
        <f>R10+R13</f>
      </c>
      <c r="S15" s="14">
        <f>S10+S13</f>
      </c>
      <c r="T15" s="14">
        <f>T10+T13</f>
      </c>
      <c r="U15" s="14">
        <f>U10+U13</f>
      </c>
      <c r="V15" s="14">
        <f>V10+V13</f>
      </c>
      <c r="W15" s="14">
        <f>W10+W13</f>
      </c>
      <c r="X15" s="14">
        <f>X10+X13</f>
      </c>
      <c r="Y15" s="14">
        <f>Y10+Y13</f>
      </c>
    </row>
    <row r="16" spans="1:25" x14ac:dyDescent="0.25">
      <c r="A16" t="s">
        <v>134</v>
      </c>
      <c r="B16" s="12">
        <f>B11+B14</f>
      </c>
      <c r="C16" s="12">
        <f>C11+C14</f>
      </c>
      <c r="D16" s="12">
        <f>D11+D14</f>
      </c>
      <c r="E16" s="12">
        <f>E11+E14</f>
      </c>
      <c r="F16" s="12">
        <f>F11+F14</f>
      </c>
      <c r="G16" s="12">
        <f>G11+G14</f>
      </c>
      <c r="H16" s="12">
        <f>H11+H14</f>
      </c>
      <c r="I16" s="12">
        <f>I11+I14</f>
      </c>
      <c r="J16" s="12">
        <f>J11+J14</f>
      </c>
      <c r="K16" s="12">
        <f>K11+K14</f>
      </c>
      <c r="L16" s="12">
        <f>L11+L14</f>
      </c>
      <c r="M16" s="12">
        <f>M11+M14</f>
      </c>
      <c r="N16" s="12">
        <f>N11+N14</f>
      </c>
      <c r="O16" s="12">
        <f>O11+O14</f>
      </c>
      <c r="P16" s="12">
        <f>P11+P14</f>
      </c>
      <c r="Q16" s="12">
        <f>Q11+Q14</f>
      </c>
      <c r="R16" s="12">
        <f>R11+R14</f>
      </c>
      <c r="S16" s="12">
        <f>S11+S14</f>
      </c>
      <c r="T16" s="12">
        <f>T11+T14</f>
      </c>
      <c r="U16" s="12">
        <f>U11+U14</f>
      </c>
      <c r="V16" s="12">
        <f>V11+V14</f>
      </c>
      <c r="W16" s="12">
        <f>W11+W14</f>
      </c>
      <c r="X16" s="12">
        <f>X11+X14</f>
      </c>
      <c r="Y16" s="12">
        <f>Y11+Y14</f>
      </c>
    </row>
    <row r="17" spans="1:25" x14ac:dyDescent="0.25">
      <c r="A17" s="13" t="s">
        <v>135</v>
      </c>
      <c r="B17" s="14">
        <f>B15-B16</f>
      </c>
      <c r="C17" s="14">
        <f>C15-C16</f>
      </c>
      <c r="D17" s="14">
        <f>D15-D16</f>
      </c>
      <c r="E17" s="14">
        <f>E15-E16</f>
      </c>
      <c r="F17" s="14">
        <f>F15-F16</f>
      </c>
      <c r="G17" s="14">
        <f>G15-G16</f>
      </c>
      <c r="H17" s="14">
        <f>H15-H16</f>
      </c>
      <c r="I17" s="14">
        <f>I15-I16</f>
      </c>
      <c r="J17" s="14">
        <f>J15-J16</f>
      </c>
      <c r="K17" s="14">
        <f>K15-K16</f>
      </c>
      <c r="L17" s="14">
        <f>L15-L16</f>
      </c>
      <c r="M17" s="14">
        <f>M15-M16</f>
      </c>
      <c r="N17" s="14">
        <f>N15-N16</f>
      </c>
      <c r="O17" s="14">
        <f>O15-O16</f>
      </c>
      <c r="P17" s="14">
        <f>P15-P16</f>
      </c>
      <c r="Q17" s="14">
        <f>Q15-Q16</f>
      </c>
      <c r="R17" s="14">
        <f>R15-R16</f>
      </c>
      <c r="S17" s="14">
        <f>S15-S16</f>
      </c>
      <c r="T17" s="14">
        <f>T15-T16</f>
      </c>
      <c r="U17" s="14">
        <f>U15-U16</f>
      </c>
      <c r="V17" s="14">
        <f>V15-V16</f>
      </c>
      <c r="W17" s="14">
        <f>W15-W16</f>
      </c>
      <c r="X17" s="14">
        <f>X15-X16</f>
      </c>
      <c r="Y17" s="14">
        <f>Y15-Y16</f>
      </c>
    </row>
    <row r="18" spans="1:25" x14ac:dyDescent="0.25">
      <c r="A18" t="s">
        <v>136</v>
      </c>
      <c r="B18" s="16">
        <f>IF(B15=0,"",B17/B15)</f>
      </c>
      <c r="C18" s="16">
        <f>IF(C15=0,"",C17/C15)</f>
      </c>
      <c r="D18" s="16">
        <f>IF(D15=0,"",D17/D15)</f>
      </c>
      <c r="E18" s="16">
        <f>IF(E15=0,"",E17/E15)</f>
      </c>
      <c r="F18" s="16">
        <f>IF(F15=0,"",F17/F15)</f>
      </c>
      <c r="G18" s="16">
        <f>IF(G15=0,"",G17/G15)</f>
      </c>
      <c r="H18" s="16">
        <f>IF(H15=0,"",H17/H15)</f>
      </c>
      <c r="I18" s="16">
        <f>IF(I15=0,"",I17/I15)</f>
      </c>
      <c r="J18" s="16">
        <f>IF(J15=0,"",J17/J15)</f>
      </c>
      <c r="K18" s="16">
        <f>IF(K15=0,"",K17/K15)</f>
      </c>
      <c r="L18" s="16">
        <f>IF(L15=0,"",L17/L15)</f>
      </c>
      <c r="M18" s="16">
        <f>IF(M15=0,"",M17/M15)</f>
      </c>
      <c r="N18" s="16">
        <f>IF(N15=0,"",N17/N15)</f>
      </c>
      <c r="O18" s="16">
        <f>IF(O15=0,"",O17/O15)</f>
      </c>
      <c r="P18" s="16">
        <f>IF(P15=0,"",P17/P15)</f>
      </c>
      <c r="Q18" s="16">
        <f>IF(Q15=0,"",Q17/Q15)</f>
      </c>
      <c r="R18" s="16">
        <f>IF(R15=0,"",R17/R15)</f>
      </c>
      <c r="S18" s="16">
        <f>IF(S15=0,"",S17/S15)</f>
      </c>
      <c r="T18" s="16">
        <f>IF(T15=0,"",T17/T15)</f>
      </c>
      <c r="U18" s="16">
        <f>IF(U15=0,"",U17/U15)</f>
      </c>
      <c r="V18" s="16">
        <f>IF(V15=0,"",V17/V15)</f>
      </c>
      <c r="W18" s="16">
        <f>IF(W15=0,"",W17/W15)</f>
      </c>
      <c r="X18" s="16">
        <f>IF(X15=0,"",X17/X15)</f>
      </c>
      <c r="Y18" s="16">
        <f>IF(Y15=0,"",Y17/Y15)</f>
      </c>
    </row>
    <row r="19" spans="1:25" x14ac:dyDescent="0.25">
      <c r="A19" s="13" t="s">
        <v>137</v>
      </c>
      <c r="B19" s="14">
        <f>B8*B9*12</f>
      </c>
      <c r="C19" s="14">
        <f>C8*C9*12</f>
      </c>
      <c r="D19" s="14">
        <f>D8*D9*12</f>
      </c>
      <c r="E19" s="14">
        <f>E8*E9*12</f>
      </c>
      <c r="F19" s="14">
        <f>F8*F9*12</f>
      </c>
      <c r="G19" s="14">
        <f>G8*G9*12</f>
      </c>
      <c r="H19" s="14">
        <f>H8*H9*12</f>
      </c>
      <c r="I19" s="14">
        <f>I8*I9*12</f>
      </c>
      <c r="J19" s="14">
        <f>J8*J9*12</f>
      </c>
      <c r="K19" s="14">
        <f>K8*K9*12</f>
      </c>
      <c r="L19" s="14">
        <f>L8*L9*12</f>
      </c>
      <c r="M19" s="14">
        <f>M8*M9*12</f>
      </c>
      <c r="N19" s="14">
        <f>N8*N9*12</f>
      </c>
      <c r="O19" s="14">
        <f>O8*O9*12</f>
      </c>
      <c r="P19" s="14">
        <f>P8*P9*12</f>
      </c>
      <c r="Q19" s="14">
        <f>Q8*Q9*12</f>
      </c>
      <c r="R19" s="14">
        <f>R8*R9*12</f>
      </c>
      <c r="S19" s="14">
        <f>S8*S9*12</f>
      </c>
      <c r="T19" s="14">
        <f>T8*T9*12</f>
      </c>
      <c r="U19" s="14">
        <f>U8*U9*12</f>
      </c>
      <c r="V19" s="14">
        <f>V8*V9*12</f>
      </c>
      <c r="W19" s="14">
        <f>W8*W9*12</f>
      </c>
      <c r="X19" s="14">
        <f>X8*X9*12</f>
      </c>
      <c r="Y19" s="14">
        <f>Y8*Y9*12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Y13"/>
  <sheetViews>
    <sheetView workbookViewId="0" showGridLines="0"/>
  </sheetViews>
  <sheetFormatPr defaultRowHeight="15" outlineLevelRow="0" outlineLevelCol="0" x14ac:dyDescent="55"/>
  <cols>
    <col min="1" max="1" width="34" customWidth="1"/>
    <col min="2" max="25" width="13" customWidth="1"/>
  </cols>
  <sheetData>
    <row r="1" spans="1:1" x14ac:dyDescent="0.25">
      <c r="A1" s="1" t="s">
        <v>138</v>
      </c>
    </row>
    <row r="2" spans="1:1" x14ac:dyDescent="0.25">
      <c r="A2" s="2" t="s">
        <v>139</v>
      </c>
    </row>
    <row r="4" ht="22" customHeight="1" spans="1:25" x14ac:dyDescent="0.25">
      <c r="A4" s="11" t="s">
        <v>122</v>
      </c>
      <c r="B4" s="11" t="s">
        <v>61</v>
      </c>
      <c r="C4" s="11" t="s">
        <v>62</v>
      </c>
      <c r="D4" s="11" t="s">
        <v>63</v>
      </c>
      <c r="E4" s="11" t="s">
        <v>64</v>
      </c>
      <c r="F4" s="11" t="s">
        <v>65</v>
      </c>
      <c r="G4" s="11" t="s">
        <v>66</v>
      </c>
      <c r="H4" s="11" t="s">
        <v>67</v>
      </c>
      <c r="I4" s="11" t="s">
        <v>68</v>
      </c>
      <c r="J4" s="11" t="s">
        <v>69</v>
      </c>
      <c r="K4" s="11" t="s">
        <v>70</v>
      </c>
      <c r="L4" s="11" t="s">
        <v>71</v>
      </c>
      <c r="M4" s="11" t="s">
        <v>72</v>
      </c>
      <c r="N4" s="11" t="s">
        <v>73</v>
      </c>
      <c r="O4" s="11" t="s">
        <v>74</v>
      </c>
      <c r="P4" s="11" t="s">
        <v>75</v>
      </c>
      <c r="Q4" s="11" t="s">
        <v>76</v>
      </c>
      <c r="R4" s="11" t="s">
        <v>77</v>
      </c>
      <c r="S4" s="11" t="s">
        <v>78</v>
      </c>
      <c r="T4" s="11" t="s">
        <v>79</v>
      </c>
      <c r="U4" s="11" t="s">
        <v>80</v>
      </c>
      <c r="V4" s="11" t="s">
        <v>81</v>
      </c>
      <c r="W4" s="11" t="s">
        <v>82</v>
      </c>
      <c r="X4" s="11" t="s">
        <v>83</v>
      </c>
      <c r="Y4" s="11" t="s">
        <v>84</v>
      </c>
    </row>
    <row r="5" spans="1:25" x14ac:dyDescent="0.25">
      <c r="A5" s="13" t="s">
        <v>140</v>
      </c>
      <c r="B5" s="14">
        <f>Revenue!B15</f>
      </c>
      <c r="C5" s="14">
        <f>Revenue!C15</f>
      </c>
      <c r="D5" s="14">
        <f>Revenue!D15</f>
      </c>
      <c r="E5" s="14">
        <f>Revenue!E15</f>
      </c>
      <c r="F5" s="14">
        <f>Revenue!F15</f>
      </c>
      <c r="G5" s="14">
        <f>Revenue!G15</f>
      </c>
      <c r="H5" s="14">
        <f>Revenue!H15</f>
      </c>
      <c r="I5" s="14">
        <f>Revenue!I15</f>
      </c>
      <c r="J5" s="14">
        <f>Revenue!J15</f>
      </c>
      <c r="K5" s="14">
        <f>Revenue!K15</f>
      </c>
      <c r="L5" s="14">
        <f>Revenue!L15</f>
      </c>
      <c r="M5" s="14">
        <f>Revenue!M15</f>
      </c>
      <c r="N5" s="14">
        <f>Revenue!N15</f>
      </c>
      <c r="O5" s="14">
        <f>Revenue!O15</f>
      </c>
      <c r="P5" s="14">
        <f>Revenue!P15</f>
      </c>
      <c r="Q5" s="14">
        <f>Revenue!Q15</f>
      </c>
      <c r="R5" s="14">
        <f>Revenue!R15</f>
      </c>
      <c r="S5" s="14">
        <f>Revenue!S15</f>
      </c>
      <c r="T5" s="14">
        <f>Revenue!T15</f>
      </c>
      <c r="U5" s="14">
        <f>Revenue!U15</f>
      </c>
      <c r="V5" s="14">
        <f>Revenue!V15</f>
      </c>
      <c r="W5" s="14">
        <f>Revenue!W15</f>
      </c>
      <c r="X5" s="14">
        <f>Revenue!X15</f>
      </c>
      <c r="Y5" s="14">
        <f>Revenue!Y15</f>
      </c>
    </row>
    <row r="6" spans="1:25" x14ac:dyDescent="0.25">
      <c r="A6" t="s">
        <v>141</v>
      </c>
      <c r="B6" s="12">
        <f>Revenue!B16</f>
      </c>
      <c r="C6" s="12">
        <f>Revenue!C16</f>
      </c>
      <c r="D6" s="12">
        <f>Revenue!D16</f>
      </c>
      <c r="E6" s="12">
        <f>Revenue!E16</f>
      </c>
      <c r="F6" s="12">
        <f>Revenue!F16</f>
      </c>
      <c r="G6" s="12">
        <f>Revenue!G16</f>
      </c>
      <c r="H6" s="12">
        <f>Revenue!H16</f>
      </c>
      <c r="I6" s="12">
        <f>Revenue!I16</f>
      </c>
      <c r="J6" s="12">
        <f>Revenue!J16</f>
      </c>
      <c r="K6" s="12">
        <f>Revenue!K16</f>
      </c>
      <c r="L6" s="12">
        <f>Revenue!L16</f>
      </c>
      <c r="M6" s="12">
        <f>Revenue!M16</f>
      </c>
      <c r="N6" s="12">
        <f>Revenue!N16</f>
      </c>
      <c r="O6" s="12">
        <f>Revenue!O16</f>
      </c>
      <c r="P6" s="12">
        <f>Revenue!P16</f>
      </c>
      <c r="Q6" s="12">
        <f>Revenue!Q16</f>
      </c>
      <c r="R6" s="12">
        <f>Revenue!R16</f>
      </c>
      <c r="S6" s="12">
        <f>Revenue!S16</f>
      </c>
      <c r="T6" s="12">
        <f>Revenue!T16</f>
      </c>
      <c r="U6" s="12">
        <f>Revenue!U16</f>
      </c>
      <c r="V6" s="12">
        <f>Revenue!V16</f>
      </c>
      <c r="W6" s="12">
        <f>Revenue!W16</f>
      </c>
      <c r="X6" s="12">
        <f>Revenue!X16</f>
      </c>
      <c r="Y6" s="12">
        <f>Revenue!Y16</f>
      </c>
    </row>
    <row r="7" spans="1:25" x14ac:dyDescent="0.25">
      <c r="A7" s="13" t="s">
        <v>135</v>
      </c>
      <c r="B7" s="14">
        <f>B5-B6</f>
      </c>
      <c r="C7" s="14">
        <f>C5-C6</f>
      </c>
      <c r="D7" s="14">
        <f>D5-D6</f>
      </c>
      <c r="E7" s="14">
        <f>E5-E6</f>
      </c>
      <c r="F7" s="14">
        <f>F5-F6</f>
      </c>
      <c r="G7" s="14">
        <f>G5-G6</f>
      </c>
      <c r="H7" s="14">
        <f>H5-H6</f>
      </c>
      <c r="I7" s="14">
        <f>I5-I6</f>
      </c>
      <c r="J7" s="14">
        <f>J5-J6</f>
      </c>
      <c r="K7" s="14">
        <f>K5-K6</f>
      </c>
      <c r="L7" s="14">
        <f>L5-L6</f>
      </c>
      <c r="M7" s="14">
        <f>M5-M6</f>
      </c>
      <c r="N7" s="14">
        <f>N5-N6</f>
      </c>
      <c r="O7" s="14">
        <f>O5-O6</f>
      </c>
      <c r="P7" s="14">
        <f>P5-P6</f>
      </c>
      <c r="Q7" s="14">
        <f>Q5-Q6</f>
      </c>
      <c r="R7" s="14">
        <f>R5-R6</f>
      </c>
      <c r="S7" s="14">
        <f>S5-S6</f>
      </c>
      <c r="T7" s="14">
        <f>T5-T6</f>
      </c>
      <c r="U7" s="14">
        <f>U5-U6</f>
      </c>
      <c r="V7" s="14">
        <f>V5-V6</f>
      </c>
      <c r="W7" s="14">
        <f>W5-W6</f>
      </c>
      <c r="X7" s="14">
        <f>X5-X6</f>
      </c>
      <c r="Y7" s="14">
        <f>Y5-Y6</f>
      </c>
    </row>
    <row r="8" spans="1:25" x14ac:dyDescent="0.25">
      <c r="A8" t="s">
        <v>136</v>
      </c>
      <c r="B8" s="16">
        <f>IF(B5=0,"",B7/B5)</f>
      </c>
      <c r="C8" s="16">
        <f>IF(C5=0,"",C7/C5)</f>
      </c>
      <c r="D8" s="16">
        <f>IF(D5=0,"",D7/D5)</f>
      </c>
      <c r="E8" s="16">
        <f>IF(E5=0,"",E7/E5)</f>
      </c>
      <c r="F8" s="16">
        <f>IF(F5=0,"",F7/F5)</f>
      </c>
      <c r="G8" s="16">
        <f>IF(G5=0,"",G7/G5)</f>
      </c>
      <c r="H8" s="16">
        <f>IF(H5=0,"",H7/H5)</f>
      </c>
      <c r="I8" s="16">
        <f>IF(I5=0,"",I7/I5)</f>
      </c>
      <c r="J8" s="16">
        <f>IF(J5=0,"",J7/J5)</f>
      </c>
      <c r="K8" s="16">
        <f>IF(K5=0,"",K7/K5)</f>
      </c>
      <c r="L8" s="16">
        <f>IF(L5=0,"",L7/L5)</f>
      </c>
      <c r="M8" s="16">
        <f>IF(M5=0,"",M7/M5)</f>
      </c>
      <c r="N8" s="16">
        <f>IF(N5=0,"",N7/N5)</f>
      </c>
      <c r="O8" s="16">
        <f>IF(O5=0,"",O7/O5)</f>
      </c>
      <c r="P8" s="16">
        <f>IF(P5=0,"",P7/P5)</f>
      </c>
      <c r="Q8" s="16">
        <f>IF(Q5=0,"",Q7/Q5)</f>
      </c>
      <c r="R8" s="16">
        <f>IF(R5=0,"",R7/R5)</f>
      </c>
      <c r="S8" s="16">
        <f>IF(S5=0,"",S7/S5)</f>
      </c>
      <c r="T8" s="16">
        <f>IF(T5=0,"",T7/T5)</f>
      </c>
      <c r="U8" s="16">
        <f>IF(U5=0,"",U7/U5)</f>
      </c>
      <c r="V8" s="16">
        <f>IF(V5=0,"",V7/V5)</f>
      </c>
      <c r="W8" s="16">
        <f>IF(W5=0,"",W7/W5)</f>
      </c>
      <c r="X8" s="16">
        <f>IF(X5=0,"",X7/X5)</f>
      </c>
      <c r="Y8" s="16">
        <f>IF(Y5=0,"",Y7/Y5)</f>
      </c>
    </row>
    <row r="9" spans="1:25" x14ac:dyDescent="0.25">
      <c r="A9" t="s">
        <v>142</v>
      </c>
      <c r="B9" s="12">
        <f>Headcount!F46</f>
      </c>
      <c r="C9" s="12">
        <f>Headcount!G46</f>
      </c>
      <c r="D9" s="12">
        <f>Headcount!H46</f>
      </c>
      <c r="E9" s="12">
        <f>Headcount!I46</f>
      </c>
      <c r="F9" s="12">
        <f>Headcount!J46</f>
      </c>
      <c r="G9" s="12">
        <f>Headcount!K46</f>
      </c>
      <c r="H9" s="12">
        <f>Headcount!L46</f>
      </c>
      <c r="I9" s="12">
        <f>Headcount!M46</f>
      </c>
      <c r="J9" s="12">
        <f>Headcount!N46</f>
      </c>
      <c r="K9" s="12">
        <f>Headcount!O46</f>
      </c>
      <c r="L9" s="12">
        <f>Headcount!P46</f>
      </c>
      <c r="M9" s="12">
        <f>Headcount!Q46</f>
      </c>
      <c r="N9" s="12">
        <f>Headcount!R46</f>
      </c>
      <c r="O9" s="12">
        <f>Headcount!S46</f>
      </c>
      <c r="P9" s="12">
        <f>Headcount!T46</f>
      </c>
      <c r="Q9" s="12">
        <f>Headcount!U46</f>
      </c>
      <c r="R9" s="12">
        <f>Headcount!V46</f>
      </c>
      <c r="S9" s="12">
        <f>Headcount!W46</f>
      </c>
      <c r="T9" s="12">
        <f>Headcount!X46</f>
      </c>
      <c r="U9" s="12">
        <f>Headcount!Y46</f>
      </c>
      <c r="V9" s="12">
        <f>Headcount!Z46</f>
      </c>
      <c r="W9" s="12">
        <f>Headcount!AA46</f>
      </c>
      <c r="X9" s="12">
        <f>Headcount!AB46</f>
      </c>
      <c r="Y9" s="12">
        <f>Headcount!AC46</f>
      </c>
    </row>
    <row r="10" spans="1:25" x14ac:dyDescent="0.25">
      <c r="A10" t="s">
        <v>106</v>
      </c>
      <c r="B10" s="12">
        <f>'Other costs'!C21</f>
      </c>
      <c r="C10" s="12">
        <f>'Other costs'!D21</f>
      </c>
      <c r="D10" s="12">
        <f>'Other costs'!E21</f>
      </c>
      <c r="E10" s="12">
        <f>'Other costs'!F21</f>
      </c>
      <c r="F10" s="12">
        <f>'Other costs'!G21</f>
      </c>
      <c r="G10" s="12">
        <f>'Other costs'!H21</f>
      </c>
      <c r="H10" s="12">
        <f>'Other costs'!I21</f>
      </c>
      <c r="I10" s="12">
        <f>'Other costs'!J21</f>
      </c>
      <c r="J10" s="12">
        <f>'Other costs'!K21</f>
      </c>
      <c r="K10" s="12">
        <f>'Other costs'!L21</f>
      </c>
      <c r="L10" s="12">
        <f>'Other costs'!M21</f>
      </c>
      <c r="M10" s="12">
        <f>'Other costs'!N21</f>
      </c>
      <c r="N10" s="12">
        <f>'Other costs'!O21</f>
      </c>
      <c r="O10" s="12">
        <f>'Other costs'!P21</f>
      </c>
      <c r="P10" s="12">
        <f>'Other costs'!Q21</f>
      </c>
      <c r="Q10" s="12">
        <f>'Other costs'!R21</f>
      </c>
      <c r="R10" s="12">
        <f>'Other costs'!S21</f>
      </c>
      <c r="S10" s="12">
        <f>'Other costs'!T21</f>
      </c>
      <c r="T10" s="12">
        <f>'Other costs'!U21</f>
      </c>
      <c r="U10" s="12">
        <f>'Other costs'!V21</f>
      </c>
      <c r="V10" s="12">
        <f>'Other costs'!W21</f>
      </c>
      <c r="W10" s="12">
        <f>'Other costs'!X21</f>
      </c>
      <c r="X10" s="12">
        <f>'Other costs'!Y21</f>
      </c>
      <c r="Y10" s="12">
        <f>'Other costs'!Z21</f>
      </c>
    </row>
    <row r="11" spans="1:25" x14ac:dyDescent="0.25">
      <c r="A11" s="13" t="s">
        <v>143</v>
      </c>
      <c r="B11" s="14">
        <f>B7-B9-B10</f>
      </c>
      <c r="C11" s="14">
        <f>C7-C9-C10</f>
      </c>
      <c r="D11" s="14">
        <f>D7-D9-D10</f>
      </c>
      <c r="E11" s="14">
        <f>E7-E9-E10</f>
      </c>
      <c r="F11" s="14">
        <f>F7-F9-F10</f>
      </c>
      <c r="G11" s="14">
        <f>G7-G9-G10</f>
      </c>
      <c r="H11" s="14">
        <f>H7-H9-H10</f>
      </c>
      <c r="I11" s="14">
        <f>I7-I9-I10</f>
      </c>
      <c r="J11" s="14">
        <f>J7-J9-J10</f>
      </c>
      <c r="K11" s="14">
        <f>K7-K9-K10</f>
      </c>
      <c r="L11" s="14">
        <f>L7-L9-L10</f>
      </c>
      <c r="M11" s="14">
        <f>M7-M9-M10</f>
      </c>
      <c r="N11" s="14">
        <f>N7-N9-N10</f>
      </c>
      <c r="O11" s="14">
        <f>O7-O9-O10</f>
      </c>
      <c r="P11" s="14">
        <f>P7-P9-P10</f>
      </c>
      <c r="Q11" s="14">
        <f>Q7-Q9-Q10</f>
      </c>
      <c r="R11" s="14">
        <f>R7-R9-R10</f>
      </c>
      <c r="S11" s="14">
        <f>S7-S9-S10</f>
      </c>
      <c r="T11" s="14">
        <f>T7-T9-T10</f>
      </c>
      <c r="U11" s="14">
        <f>U7-U9-U10</f>
      </c>
      <c r="V11" s="14">
        <f>V7-V9-V10</f>
      </c>
      <c r="W11" s="14">
        <f>W7-W9-W10</f>
      </c>
      <c r="X11" s="14">
        <f>X7-X9-X10</f>
      </c>
      <c r="Y11" s="14">
        <f>Y7-Y9-Y10</f>
      </c>
    </row>
    <row r="12" spans="1:25" x14ac:dyDescent="0.25">
      <c r="A12" t="s">
        <v>144</v>
      </c>
      <c r="B12" s="16">
        <f>IF(B5=0,"",B11/B5)</f>
      </c>
      <c r="C12" s="16">
        <f>IF(C5=0,"",C11/C5)</f>
      </c>
      <c r="D12" s="16">
        <f>IF(D5=0,"",D11/D5)</f>
      </c>
      <c r="E12" s="16">
        <f>IF(E5=0,"",E11/E5)</f>
      </c>
      <c r="F12" s="16">
        <f>IF(F5=0,"",F11/F5)</f>
      </c>
      <c r="G12" s="16">
        <f>IF(G5=0,"",G11/G5)</f>
      </c>
      <c r="H12" s="16">
        <f>IF(H5=0,"",H11/H5)</f>
      </c>
      <c r="I12" s="16">
        <f>IF(I5=0,"",I11/I5)</f>
      </c>
      <c r="J12" s="16">
        <f>IF(J5=0,"",J11/J5)</f>
      </c>
      <c r="K12" s="16">
        <f>IF(K5=0,"",K11/K5)</f>
      </c>
      <c r="L12" s="16">
        <f>IF(L5=0,"",L11/L5)</f>
      </c>
      <c r="M12" s="16">
        <f>IF(M5=0,"",M11/M5)</f>
      </c>
      <c r="N12" s="16">
        <f>IF(N5=0,"",N11/N5)</f>
      </c>
      <c r="O12" s="16">
        <f>IF(O5=0,"",O11/O5)</f>
      </c>
      <c r="P12" s="16">
        <f>IF(P5=0,"",P11/P5)</f>
      </c>
      <c r="Q12" s="16">
        <f>IF(Q5=0,"",Q11/Q5)</f>
      </c>
      <c r="R12" s="16">
        <f>IF(R5=0,"",R11/R5)</f>
      </c>
      <c r="S12" s="16">
        <f>IF(S5=0,"",S11/S5)</f>
      </c>
      <c r="T12" s="16">
        <f>IF(T5=0,"",T11/T5)</f>
      </c>
      <c r="U12" s="16">
        <f>IF(U5=0,"",U11/U5)</f>
      </c>
      <c r="V12" s="16">
        <f>IF(V5=0,"",V11/V5)</f>
      </c>
      <c r="W12" s="16">
        <f>IF(W5=0,"",W11/W5)</f>
      </c>
      <c r="X12" s="16">
        <f>IF(X5=0,"",X11/X5)</f>
      </c>
      <c r="Y12" s="16">
        <f>IF(Y5=0,"",Y11/Y5)</f>
      </c>
    </row>
    <row r="13" spans="1:25" x14ac:dyDescent="0.25">
      <c r="A13" t="s">
        <v>145</v>
      </c>
      <c r="B13" s="12">
        <f>B11</f>
      </c>
      <c r="C13" s="12">
        <f>B13+C11</f>
      </c>
      <c r="D13" s="12">
        <f>C13+D11</f>
      </c>
      <c r="E13" s="12">
        <f>D13+E11</f>
      </c>
      <c r="F13" s="12">
        <f>E13+F11</f>
      </c>
      <c r="G13" s="12">
        <f>F13+G11</f>
      </c>
      <c r="H13" s="12">
        <f>G13+H11</f>
      </c>
      <c r="I13" s="12">
        <f>H13+I11</f>
      </c>
      <c r="J13" s="12">
        <f>I13+J11</f>
      </c>
      <c r="K13" s="12">
        <f>J13+K11</f>
      </c>
      <c r="L13" s="12">
        <f>K13+L11</f>
      </c>
      <c r="M13" s="12">
        <f>L13+M11</f>
      </c>
      <c r="N13" s="12">
        <f>M13+N11</f>
      </c>
      <c r="O13" s="12">
        <f>N13+O11</f>
      </c>
      <c r="P13" s="12">
        <f>O13+P11</f>
      </c>
      <c r="Q13" s="12">
        <f>P13+Q11</f>
      </c>
      <c r="R13" s="12">
        <f>Q13+R11</f>
      </c>
      <c r="S13" s="12">
        <f>R13+S11</f>
      </c>
      <c r="T13" s="12">
        <f>S13+T11</f>
      </c>
      <c r="U13" s="12">
        <f>T13+U11</f>
      </c>
      <c r="V13" s="12">
        <f>U13+V11</f>
      </c>
      <c r="W13" s="12">
        <f>V13+W11</f>
      </c>
      <c r="X13" s="12">
        <f>W13+X11</f>
      </c>
      <c r="Y13" s="12">
        <f>X13+Y11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Y10"/>
  <sheetViews>
    <sheetView workbookViewId="0" showGridLines="0"/>
  </sheetViews>
  <sheetFormatPr defaultRowHeight="15" outlineLevelRow="0" outlineLevelCol="0" x14ac:dyDescent="55"/>
  <cols>
    <col min="1" max="1" width="34" customWidth="1"/>
    <col min="2" max="25" width="13" customWidth="1"/>
  </cols>
  <sheetData>
    <row r="1" spans="1:1" x14ac:dyDescent="0.25">
      <c r="A1" s="1" t="s">
        <v>146</v>
      </c>
    </row>
    <row r="2" spans="1:1" x14ac:dyDescent="0.25">
      <c r="A2" s="2" t="s">
        <v>147</v>
      </c>
    </row>
    <row r="4" ht="22" customHeight="1" spans="1:25" x14ac:dyDescent="0.25">
      <c r="A4" s="11" t="s">
        <v>122</v>
      </c>
      <c r="B4" s="11" t="s">
        <v>61</v>
      </c>
      <c r="C4" s="11" t="s">
        <v>62</v>
      </c>
      <c r="D4" s="11" t="s">
        <v>63</v>
      </c>
      <c r="E4" s="11" t="s">
        <v>64</v>
      </c>
      <c r="F4" s="11" t="s">
        <v>65</v>
      </c>
      <c r="G4" s="11" t="s">
        <v>66</v>
      </c>
      <c r="H4" s="11" t="s">
        <v>67</v>
      </c>
      <c r="I4" s="11" t="s">
        <v>68</v>
      </c>
      <c r="J4" s="11" t="s">
        <v>69</v>
      </c>
      <c r="K4" s="11" t="s">
        <v>70</v>
      </c>
      <c r="L4" s="11" t="s">
        <v>71</v>
      </c>
      <c r="M4" s="11" t="s">
        <v>72</v>
      </c>
      <c r="N4" s="11" t="s">
        <v>73</v>
      </c>
      <c r="O4" s="11" t="s">
        <v>74</v>
      </c>
      <c r="P4" s="11" t="s">
        <v>75</v>
      </c>
      <c r="Q4" s="11" t="s">
        <v>76</v>
      </c>
      <c r="R4" s="11" t="s">
        <v>77</v>
      </c>
      <c r="S4" s="11" t="s">
        <v>78</v>
      </c>
      <c r="T4" s="11" t="s">
        <v>79</v>
      </c>
      <c r="U4" s="11" t="s">
        <v>80</v>
      </c>
      <c r="V4" s="11" t="s">
        <v>81</v>
      </c>
      <c r="W4" s="11" t="s">
        <v>82</v>
      </c>
      <c r="X4" s="11" t="s">
        <v>83</v>
      </c>
      <c r="Y4" s="11" t="s">
        <v>84</v>
      </c>
    </row>
    <row r="5" spans="1:25" x14ac:dyDescent="0.25">
      <c r="A5" t="s">
        <v>148</v>
      </c>
      <c r="B5" s="12">
        <f>Assumptions!$B$5</f>
      </c>
      <c r="C5" s="12">
        <f>B9</f>
      </c>
      <c r="D5" s="12">
        <f>C9</f>
      </c>
      <c r="E5" s="12">
        <f>D9</f>
      </c>
      <c r="F5" s="12">
        <f>E9</f>
      </c>
      <c r="G5" s="12">
        <f>F9</f>
      </c>
      <c r="H5" s="12">
        <f>G9</f>
      </c>
      <c r="I5" s="12">
        <f>H9</f>
      </c>
      <c r="J5" s="12">
        <f>I9</f>
      </c>
      <c r="K5" s="12">
        <f>J9</f>
      </c>
      <c r="L5" s="12">
        <f>K9</f>
      </c>
      <c r="M5" s="12">
        <f>L9</f>
      </c>
      <c r="N5" s="12">
        <f>M9</f>
      </c>
      <c r="O5" s="12">
        <f>N9</f>
      </c>
      <c r="P5" s="12">
        <f>O9</f>
      </c>
      <c r="Q5" s="12">
        <f>P9</f>
      </c>
      <c r="R5" s="12">
        <f>Q9</f>
      </c>
      <c r="S5" s="12">
        <f>R9</f>
      </c>
      <c r="T5" s="12">
        <f>S9</f>
      </c>
      <c r="U5" s="12">
        <f>T9</f>
      </c>
      <c r="V5" s="12">
        <f>U9</f>
      </c>
      <c r="W5" s="12">
        <f>V9</f>
      </c>
      <c r="X5" s="12">
        <f>W9</f>
      </c>
      <c r="Y5" s="12">
        <f>X9</f>
      </c>
    </row>
    <row r="6" spans="1:25" x14ac:dyDescent="0.25">
      <c r="A6" t="s">
        <v>149</v>
      </c>
      <c r="B6" s="12">
        <f>IF(1-ROUND(Assumptions!$B$6/30,0)&gt;=1,INDEX(Revenue!$B$15:$Y$15,1-ROUND(Assumptions!$B$6/30,0)),Assumptions!$B$7)</f>
      </c>
      <c r="C6" s="12">
        <f>IF(2-ROUND(Assumptions!$B$6/30,0)&gt;=1,INDEX(Revenue!$B$15:$Y$15,2-ROUND(Assumptions!$B$6/30,0)),Assumptions!$B$7)</f>
      </c>
      <c r="D6" s="12">
        <f>IF(3-ROUND(Assumptions!$B$6/30,0)&gt;=1,INDEX(Revenue!$B$15:$Y$15,3-ROUND(Assumptions!$B$6/30,0)),Assumptions!$B$7)</f>
      </c>
      <c r="E6" s="12">
        <f>IF(4-ROUND(Assumptions!$B$6/30,0)&gt;=1,INDEX(Revenue!$B$15:$Y$15,4-ROUND(Assumptions!$B$6/30,0)),Assumptions!$B$7)</f>
      </c>
      <c r="F6" s="12">
        <f>IF(5-ROUND(Assumptions!$B$6/30,0)&gt;=1,INDEX(Revenue!$B$15:$Y$15,5-ROUND(Assumptions!$B$6/30,0)),Assumptions!$B$7)</f>
      </c>
      <c r="G6" s="12">
        <f>IF(6-ROUND(Assumptions!$B$6/30,0)&gt;=1,INDEX(Revenue!$B$15:$Y$15,6-ROUND(Assumptions!$B$6/30,0)),Assumptions!$B$7)</f>
      </c>
      <c r="H6" s="12">
        <f>IF(7-ROUND(Assumptions!$B$6/30,0)&gt;=1,INDEX(Revenue!$B$15:$Y$15,7-ROUND(Assumptions!$B$6/30,0)),Assumptions!$B$7)</f>
      </c>
      <c r="I6" s="12">
        <f>IF(8-ROUND(Assumptions!$B$6/30,0)&gt;=1,INDEX(Revenue!$B$15:$Y$15,8-ROUND(Assumptions!$B$6/30,0)),Assumptions!$B$7)</f>
      </c>
      <c r="J6" s="12">
        <f>IF(9-ROUND(Assumptions!$B$6/30,0)&gt;=1,INDEX(Revenue!$B$15:$Y$15,9-ROUND(Assumptions!$B$6/30,0)),Assumptions!$B$7)</f>
      </c>
      <c r="K6" s="12">
        <f>IF(10-ROUND(Assumptions!$B$6/30,0)&gt;=1,INDEX(Revenue!$B$15:$Y$15,10-ROUND(Assumptions!$B$6/30,0)),Assumptions!$B$7)</f>
      </c>
      <c r="L6" s="12">
        <f>IF(11-ROUND(Assumptions!$B$6/30,0)&gt;=1,INDEX(Revenue!$B$15:$Y$15,11-ROUND(Assumptions!$B$6/30,0)),Assumptions!$B$7)</f>
      </c>
      <c r="M6" s="12">
        <f>IF(12-ROUND(Assumptions!$B$6/30,0)&gt;=1,INDEX(Revenue!$B$15:$Y$15,12-ROUND(Assumptions!$B$6/30,0)),Assumptions!$B$7)</f>
      </c>
      <c r="N6" s="12">
        <f>IF(13-ROUND(Assumptions!$B$6/30,0)&gt;=1,INDEX(Revenue!$B$15:$Y$15,13-ROUND(Assumptions!$B$6/30,0)),Assumptions!$B$7)</f>
      </c>
      <c r="O6" s="12">
        <f>IF(14-ROUND(Assumptions!$B$6/30,0)&gt;=1,INDEX(Revenue!$B$15:$Y$15,14-ROUND(Assumptions!$B$6/30,0)),Assumptions!$B$7)</f>
      </c>
      <c r="P6" s="12">
        <f>IF(15-ROUND(Assumptions!$B$6/30,0)&gt;=1,INDEX(Revenue!$B$15:$Y$15,15-ROUND(Assumptions!$B$6/30,0)),Assumptions!$B$7)</f>
      </c>
      <c r="Q6" s="12">
        <f>IF(16-ROUND(Assumptions!$B$6/30,0)&gt;=1,INDEX(Revenue!$B$15:$Y$15,16-ROUND(Assumptions!$B$6/30,0)),Assumptions!$B$7)</f>
      </c>
      <c r="R6" s="12">
        <f>IF(17-ROUND(Assumptions!$B$6/30,0)&gt;=1,INDEX(Revenue!$B$15:$Y$15,17-ROUND(Assumptions!$B$6/30,0)),Assumptions!$B$7)</f>
      </c>
      <c r="S6" s="12">
        <f>IF(18-ROUND(Assumptions!$B$6/30,0)&gt;=1,INDEX(Revenue!$B$15:$Y$15,18-ROUND(Assumptions!$B$6/30,0)),Assumptions!$B$7)</f>
      </c>
      <c r="T6" s="12">
        <f>IF(19-ROUND(Assumptions!$B$6/30,0)&gt;=1,INDEX(Revenue!$B$15:$Y$15,19-ROUND(Assumptions!$B$6/30,0)),Assumptions!$B$7)</f>
      </c>
      <c r="U6" s="12">
        <f>IF(20-ROUND(Assumptions!$B$6/30,0)&gt;=1,INDEX(Revenue!$B$15:$Y$15,20-ROUND(Assumptions!$B$6/30,0)),Assumptions!$B$7)</f>
      </c>
      <c r="V6" s="12">
        <f>IF(21-ROUND(Assumptions!$B$6/30,0)&gt;=1,INDEX(Revenue!$B$15:$Y$15,21-ROUND(Assumptions!$B$6/30,0)),Assumptions!$B$7)</f>
      </c>
      <c r="W6" s="12">
        <f>IF(22-ROUND(Assumptions!$B$6/30,0)&gt;=1,INDEX(Revenue!$B$15:$Y$15,22-ROUND(Assumptions!$B$6/30,0)),Assumptions!$B$7)</f>
      </c>
      <c r="X6" s="12">
        <f>IF(23-ROUND(Assumptions!$B$6/30,0)&gt;=1,INDEX(Revenue!$B$15:$Y$15,23-ROUND(Assumptions!$B$6/30,0)),Assumptions!$B$7)</f>
      </c>
      <c r="Y6" s="12">
        <f>IF(24-ROUND(Assumptions!$B$6/30,0)&gt;=1,INDEX(Revenue!$B$15:$Y$15,24-ROUND(Assumptions!$B$6/30,0)),Assumptions!$B$7)</f>
      </c>
    </row>
    <row r="7" spans="1:25" x14ac:dyDescent="0.25">
      <c r="A7" t="s">
        <v>150</v>
      </c>
      <c r="B7" s="12">
        <f>'P&amp;L'!B6+'P&amp;L'!B9+'P&amp;L'!B10</f>
      </c>
      <c r="C7" s="12">
        <f>'P&amp;L'!C6+'P&amp;L'!C9+'P&amp;L'!C10</f>
      </c>
      <c r="D7" s="12">
        <f>'P&amp;L'!D6+'P&amp;L'!D9+'P&amp;L'!D10</f>
      </c>
      <c r="E7" s="12">
        <f>'P&amp;L'!E6+'P&amp;L'!E9+'P&amp;L'!E10</f>
      </c>
      <c r="F7" s="12">
        <f>'P&amp;L'!F6+'P&amp;L'!F9+'P&amp;L'!F10</f>
      </c>
      <c r="G7" s="12">
        <f>'P&amp;L'!G6+'P&amp;L'!G9+'P&amp;L'!G10</f>
      </c>
      <c r="H7" s="12">
        <f>'P&amp;L'!H6+'P&amp;L'!H9+'P&amp;L'!H10</f>
      </c>
      <c r="I7" s="12">
        <f>'P&amp;L'!I6+'P&amp;L'!I9+'P&amp;L'!I10</f>
      </c>
      <c r="J7" s="12">
        <f>'P&amp;L'!J6+'P&amp;L'!J9+'P&amp;L'!J10</f>
      </c>
      <c r="K7" s="12">
        <f>'P&amp;L'!K6+'P&amp;L'!K9+'P&amp;L'!K10</f>
      </c>
      <c r="L7" s="12">
        <f>'P&amp;L'!L6+'P&amp;L'!L9+'P&amp;L'!L10</f>
      </c>
      <c r="M7" s="12">
        <f>'P&amp;L'!M6+'P&amp;L'!M9+'P&amp;L'!M10</f>
      </c>
      <c r="N7" s="12">
        <f>'P&amp;L'!N6+'P&amp;L'!N9+'P&amp;L'!N10</f>
      </c>
      <c r="O7" s="12">
        <f>'P&amp;L'!O6+'P&amp;L'!O9+'P&amp;L'!O10</f>
      </c>
      <c r="P7" s="12">
        <f>'P&amp;L'!P6+'P&amp;L'!P9+'P&amp;L'!P10</f>
      </c>
      <c r="Q7" s="12">
        <f>'P&amp;L'!Q6+'P&amp;L'!Q9+'P&amp;L'!Q10</f>
      </c>
      <c r="R7" s="12">
        <f>'P&amp;L'!R6+'P&amp;L'!R9+'P&amp;L'!R10</f>
      </c>
      <c r="S7" s="12">
        <f>'P&amp;L'!S6+'P&amp;L'!S9+'P&amp;L'!S10</f>
      </c>
      <c r="T7" s="12">
        <f>'P&amp;L'!T6+'P&amp;L'!T9+'P&amp;L'!T10</f>
      </c>
      <c r="U7" s="12">
        <f>'P&amp;L'!U6+'P&amp;L'!U9+'P&amp;L'!U10</f>
      </c>
      <c r="V7" s="12">
        <f>'P&amp;L'!V6+'P&amp;L'!V9+'P&amp;L'!V10</f>
      </c>
      <c r="W7" s="12">
        <f>'P&amp;L'!W6+'P&amp;L'!W9+'P&amp;L'!W10</f>
      </c>
      <c r="X7" s="12">
        <f>'P&amp;L'!X6+'P&amp;L'!X9+'P&amp;L'!X10</f>
      </c>
      <c r="Y7" s="12">
        <f>'P&amp;L'!Y6+'P&amp;L'!Y9+'P&amp;L'!Y10</f>
      </c>
    </row>
    <row r="8" spans="1:25" x14ac:dyDescent="0.25">
      <c r="A8" t="s">
        <v>151</v>
      </c>
      <c r="B8" s="12">
        <f>B6-B7</f>
      </c>
      <c r="C8" s="12">
        <f>C6-C7</f>
      </c>
      <c r="D8" s="12">
        <f>D6-D7</f>
      </c>
      <c r="E8" s="12">
        <f>E6-E7</f>
      </c>
      <c r="F8" s="12">
        <f>F6-F7</f>
      </c>
      <c r="G8" s="12">
        <f>G6-G7</f>
      </c>
      <c r="H8" s="12">
        <f>H6-H7</f>
      </c>
      <c r="I8" s="12">
        <f>I6-I7</f>
      </c>
      <c r="J8" s="12">
        <f>J6-J7</f>
      </c>
      <c r="K8" s="12">
        <f>K6-K7</f>
      </c>
      <c r="L8" s="12">
        <f>L6-L7</f>
      </c>
      <c r="M8" s="12">
        <f>M6-M7</f>
      </c>
      <c r="N8" s="12">
        <f>N6-N7</f>
      </c>
      <c r="O8" s="12">
        <f>O6-O7</f>
      </c>
      <c r="P8" s="12">
        <f>P6-P7</f>
      </c>
      <c r="Q8" s="12">
        <f>Q6-Q7</f>
      </c>
      <c r="R8" s="12">
        <f>R6-R7</f>
      </c>
      <c r="S8" s="12">
        <f>S6-S7</f>
      </c>
      <c r="T8" s="12">
        <f>T6-T7</f>
      </c>
      <c r="U8" s="12">
        <f>U6-U7</f>
      </c>
      <c r="V8" s="12">
        <f>V6-V7</f>
      </c>
      <c r="W8" s="12">
        <f>W6-W7</f>
      </c>
      <c r="X8" s="12">
        <f>X6-X7</f>
      </c>
      <c r="Y8" s="12">
        <f>Y6-Y7</f>
      </c>
    </row>
    <row r="9" spans="1:25" x14ac:dyDescent="0.25">
      <c r="A9" s="13" t="s">
        <v>152</v>
      </c>
      <c r="B9" s="14">
        <f>B5+B8</f>
      </c>
      <c r="C9" s="14">
        <f>C5+C8</f>
      </c>
      <c r="D9" s="14">
        <f>D5+D8</f>
      </c>
      <c r="E9" s="14">
        <f>E5+E8</f>
      </c>
      <c r="F9" s="14">
        <f>F5+F8</f>
      </c>
      <c r="G9" s="14">
        <f>G5+G8</f>
      </c>
      <c r="H9" s="14">
        <f>H5+H8</f>
      </c>
      <c r="I9" s="14">
        <f>I5+I8</f>
      </c>
      <c r="J9" s="14">
        <f>J5+J8</f>
      </c>
      <c r="K9" s="14">
        <f>K5+K8</f>
      </c>
      <c r="L9" s="14">
        <f>L5+L8</f>
      </c>
      <c r="M9" s="14">
        <f>M5+M8</f>
      </c>
      <c r="N9" s="14">
        <f>N5+N8</f>
      </c>
      <c r="O9" s="14">
        <f>O5+O8</f>
      </c>
      <c r="P9" s="14">
        <f>P5+P8</f>
      </c>
      <c r="Q9" s="14">
        <f>Q5+Q8</f>
      </c>
      <c r="R9" s="14">
        <f>R5+R8</f>
      </c>
      <c r="S9" s="14">
        <f>S5+S8</f>
      </c>
      <c r="T9" s="14">
        <f>T5+T8</f>
      </c>
      <c r="U9" s="14">
        <f>U5+U8</f>
      </c>
      <c r="V9" s="14">
        <f>V5+V8</f>
      </c>
      <c r="W9" s="14">
        <f>W5+W8</f>
      </c>
      <c r="X9" s="14">
        <f>X5+X8</f>
      </c>
      <c r="Y9" s="14">
        <f>Y5+Y8</f>
      </c>
    </row>
    <row r="10" spans="1:25" x14ac:dyDescent="0.25">
      <c r="A10" t="s">
        <v>153</v>
      </c>
      <c r="B10" s="17">
        <f>IF(B8&gt;=0,"Cash positive",B9/-B8)</f>
      </c>
      <c r="C10" s="17">
        <f>IF(C8&gt;=0,"Cash positive",C9/-C8)</f>
      </c>
      <c r="D10" s="17">
        <f>IF(D8&gt;=0,"Cash positive",D9/-D8)</f>
      </c>
      <c r="E10" s="17">
        <f>IF(E8&gt;=0,"Cash positive",E9/-E8)</f>
      </c>
      <c r="F10" s="17">
        <f>IF(F8&gt;=0,"Cash positive",F9/-F8)</f>
      </c>
      <c r="G10" s="17">
        <f>IF(G8&gt;=0,"Cash positive",G9/-G8)</f>
      </c>
      <c r="H10" s="17">
        <f>IF(H8&gt;=0,"Cash positive",H9/-H8)</f>
      </c>
      <c r="I10" s="17">
        <f>IF(I8&gt;=0,"Cash positive",I9/-I8)</f>
      </c>
      <c r="J10" s="17">
        <f>IF(J8&gt;=0,"Cash positive",J9/-J8)</f>
      </c>
      <c r="K10" s="17">
        <f>IF(K8&gt;=0,"Cash positive",K9/-K8)</f>
      </c>
      <c r="L10" s="17">
        <f>IF(L8&gt;=0,"Cash positive",L9/-L8)</f>
      </c>
      <c r="M10" s="17">
        <f>IF(M8&gt;=0,"Cash positive",M9/-M8)</f>
      </c>
      <c r="N10" s="17">
        <f>IF(N8&gt;=0,"Cash positive",N9/-N8)</f>
      </c>
      <c r="O10" s="17">
        <f>IF(O8&gt;=0,"Cash positive",O9/-O8)</f>
      </c>
      <c r="P10" s="17">
        <f>IF(P8&gt;=0,"Cash positive",P9/-P8)</f>
      </c>
      <c r="Q10" s="17">
        <f>IF(Q8&gt;=0,"Cash positive",Q9/-Q8)</f>
      </c>
      <c r="R10" s="17">
        <f>IF(R8&gt;=0,"Cash positive",R9/-R8)</f>
      </c>
      <c r="S10" s="17">
        <f>IF(S8&gt;=0,"Cash positive",S9/-S8)</f>
      </c>
      <c r="T10" s="17">
        <f>IF(T8&gt;=0,"Cash positive",T9/-T8)</f>
      </c>
      <c r="U10" s="17">
        <f>IF(U8&gt;=0,"Cash positive",U9/-U8)</f>
      </c>
      <c r="V10" s="17">
        <f>IF(V8&gt;=0,"Cash positive",V9/-V8)</f>
      </c>
      <c r="W10" s="17">
        <f>IF(W8&gt;=0,"Cash positive",W9/-W8)</f>
      </c>
      <c r="X10" s="17">
        <f>IF(X8&gt;=0,"Cash positive",X9/-X8)</f>
      </c>
      <c r="Y10" s="17">
        <f>IF(Y8&gt;=0,"Cash positive",Y9/-Y8)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D18"/>
  <sheetViews>
    <sheetView workbookViewId="0" showGridLines="0"/>
  </sheetViews>
  <sheetFormatPr defaultRowHeight="15" outlineLevelRow="0" outlineLevelCol="0" x14ac:dyDescent="55"/>
  <cols>
    <col min="1" max="1" width="38" customWidth="1"/>
    <col min="2" max="4" width="18" customWidth="1"/>
  </cols>
  <sheetData>
    <row r="1" spans="1:1" x14ac:dyDescent="0.25">
      <c r="A1" s="1" t="s">
        <v>154</v>
      </c>
    </row>
    <row r="2" spans="1:1" x14ac:dyDescent="0.25">
      <c r="A2" s="2" t="s">
        <v>155</v>
      </c>
    </row>
    <row r="4" ht="22" customHeight="1" spans="1:4" x14ac:dyDescent="0.25">
      <c r="A4" s="11" t="s">
        <v>8</v>
      </c>
      <c r="B4" s="11" t="s">
        <v>156</v>
      </c>
      <c r="C4" s="11" t="s">
        <v>157</v>
      </c>
      <c r="D4" s="11" t="s">
        <v>158</v>
      </c>
    </row>
    <row r="5" spans="1:4" x14ac:dyDescent="0.25">
      <c r="A5" t="s">
        <v>140</v>
      </c>
      <c r="B5" s="12">
        <f>Revenue!B15</f>
      </c>
      <c r="C5" s="12">
        <f>Revenue!M15</f>
      </c>
      <c r="D5" s="12">
        <f>Revenue!Y15</f>
      </c>
    </row>
    <row r="6" spans="1:4" x14ac:dyDescent="0.25">
      <c r="A6" t="s">
        <v>137</v>
      </c>
      <c r="B6" s="12">
        <f>Revenue!B19</f>
      </c>
      <c r="C6" s="12">
        <f>Revenue!M19</f>
      </c>
      <c r="D6" s="12">
        <f>Revenue!Y19</f>
      </c>
    </row>
    <row r="7" spans="1:4" x14ac:dyDescent="0.25">
      <c r="A7" t="s">
        <v>159</v>
      </c>
      <c r="B7" s="15">
        <f>Revenue!B8</f>
      </c>
      <c r="C7" s="15">
        <f>Revenue!M8</f>
      </c>
      <c r="D7" s="15">
        <f>Revenue!Y8</f>
      </c>
    </row>
    <row r="8" spans="1:4" x14ac:dyDescent="0.25">
      <c r="A8" t="s">
        <v>136</v>
      </c>
      <c r="B8" s="16">
        <f>Revenue!B18</f>
      </c>
      <c r="C8" s="16">
        <f>Revenue!M18</f>
      </c>
      <c r="D8" s="16">
        <f>Revenue!Y18</f>
      </c>
    </row>
    <row r="9" spans="1:4" x14ac:dyDescent="0.25">
      <c r="A9" t="s">
        <v>143</v>
      </c>
      <c r="B9" s="12">
        <f>'P&amp;L'!B11</f>
      </c>
      <c r="C9" s="12">
        <f>'P&amp;L'!M11</f>
      </c>
      <c r="D9" s="12">
        <f>'P&amp;L'!Y11</f>
      </c>
    </row>
    <row r="10" spans="1:4" x14ac:dyDescent="0.25">
      <c r="A10" t="s">
        <v>105</v>
      </c>
      <c r="B10" s="15">
        <f>Headcount!F47</f>
      </c>
      <c r="C10" s="15">
        <f>Headcount!Q47</f>
      </c>
      <c r="D10" s="15">
        <f>Headcount!AC47</f>
      </c>
    </row>
    <row r="11" spans="1:4" x14ac:dyDescent="0.25">
      <c r="A11" t="s">
        <v>152</v>
      </c>
      <c r="B11" s="12">
        <f>Cash!B9</f>
      </c>
      <c r="C11" s="12">
        <f>Cash!M9</f>
      </c>
      <c r="D11" s="12">
        <f>Cash!Y9</f>
      </c>
    </row>
    <row r="12" spans="1:4" x14ac:dyDescent="0.25">
      <c r="A12" t="s">
        <v>160</v>
      </c>
      <c r="B12" s="17">
        <f>Cash!B10</f>
      </c>
      <c r="C12" s="17">
        <f>Cash!M10</f>
      </c>
      <c r="D12" s="17">
        <f>Cash!Y10</f>
      </c>
    </row>
    <row r="14" spans="1:2" x14ac:dyDescent="0.25">
      <c r="A14" t="s">
        <v>161</v>
      </c>
      <c r="B14" s="12">
        <f>'P&amp;L'!Y13</f>
      </c>
    </row>
    <row r="15" spans="1:2" x14ac:dyDescent="0.25">
      <c r="A15" t="s">
        <v>162</v>
      </c>
      <c r="B15" s="12">
        <f>MIN(Cash!B9:Y9)</f>
      </c>
    </row>
    <row r="16" spans="1:2" x14ac:dyDescent="0.25">
      <c r="A16" t="s">
        <v>163</v>
      </c>
      <c r="B16" s="13">
        <f>IF(MIN(Cash!B9:Y9)&lt;0,"Yes, the plan needs more funding","No")</f>
      </c>
    </row>
    <row r="18" spans="1:1" x14ac:dyDescent="0.25">
      <c r="A18" s="18" t="s">
        <v>164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 me</vt:lpstr>
      <vt:lpstr>Assumptions</vt:lpstr>
      <vt:lpstr>Headcount</vt:lpstr>
      <vt:lpstr>Other costs</vt:lpstr>
      <vt:lpstr>Revenue</vt:lpstr>
      <vt:lpstr>P&amp;L</vt:lpstr>
      <vt:lpstr>Cash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Simplify (withsimplify.in)</dc:creator>
  <dc:title/>
  <dc:subject/>
  <dc:description/>
  <cp:keywords/>
  <cp:category/>
  <cp:lastModifiedBy>Unknown</cp:lastModifiedBy>
  <dcterms:created xsi:type="dcterms:W3CDTF">2026-09-16T09:00:00Z</dcterms:created>
  <dcterms:modified xsi:type="dcterms:W3CDTF">2026-09-16T17:09:58Z</dcterms:modified>
</cp:coreProperties>
</file>